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il &amp; Gas Changes" sheetId="1" r:id="rId4"/>
    <sheet state="visible" name="All Canada Changes" sheetId="2" r:id="rId5"/>
    <sheet state="visible" name="Oil &amp; Gas Documents - Canada" sheetId="3" r:id="rId6"/>
  </sheets>
  <definedNames>
    <definedName hidden="1" localSheetId="1" name="_xlnm._FilterDatabase">'All Canada Changes'!$A$1:$P$1882</definedName>
  </definedNames>
  <calcPr/>
</workbook>
</file>

<file path=xl/sharedStrings.xml><?xml version="1.0" encoding="utf-8"?>
<sst xmlns="http://schemas.openxmlformats.org/spreadsheetml/2006/main" count="27826" uniqueCount="9849">
  <si>
    <t>Jurisdiction</t>
  </si>
  <si>
    <t>Change Type</t>
  </si>
  <si>
    <t>Industry</t>
  </si>
  <si>
    <t>Descriptions</t>
  </si>
  <si>
    <t>Document</t>
  </si>
  <si>
    <t>Reference</t>
  </si>
  <si>
    <t>Last Document Update</t>
  </si>
  <si>
    <t>Link</t>
  </si>
  <si>
    <t>Status</t>
  </si>
  <si>
    <t>Amending Reference</t>
  </si>
  <si>
    <t>Amending Document</t>
  </si>
  <si>
    <t>Government Publication</t>
  </si>
  <si>
    <t>Effective</t>
  </si>
  <si>
    <t>Nimonik Publication</t>
  </si>
  <si>
    <t>Saskatchewan</t>
  </si>
  <si>
    <t>New</t>
  </si>
  <si>
    <t>Directive PNG034: Saskatchewan Pipelines Code</t>
  </si>
  <si>
    <t>CA-SK-PNG034</t>
  </si>
  <si>
    <t>In Force</t>
  </si>
  <si>
    <t>Directive PNG033: Phase II Environmental Site Assessment</t>
  </si>
  <si>
    <t>CA-SK-PNG033</t>
  </si>
  <si>
    <t>Alberta</t>
  </si>
  <si>
    <t>Manual 023: Licensee Life-Cycle Management</t>
  </si>
  <si>
    <t>CA-AB-AERMan023</t>
  </si>
  <si>
    <t>British Columbia</t>
  </si>
  <si>
    <t>Amendment</t>
  </si>
  <si>
    <t>oil_and_gas</t>
  </si>
  <si>
    <t>Safety Standards Act</t>
  </si>
  <si>
    <t>SBC2003,c39</t>
  </si>
  <si>
    <t>A change to this document has been announced. The change is part of a suite of amendments that update cross-references to the following, wherever they appear, pursuant to amendments to the Oil and Gas Activities Act which expands its applicability to other types of energy production, including the production of hydrogen:&lt;p&gt;&lt;li&gt;references to "Oil and Gas Activities Act" are replaced with "Energy Resource Activities Act";&lt;li&gt;references to "Oil and Gas Commission" and "commission" are replaced with "British Columbia Energy Regulator" and "regulator", respectively; and&lt;li&gt;references to "oil and gas activity [or activites]" are replaced with "energy resource activity [or activities]".&lt;/p&gt; The first effective date of the document that makes the change is November 24, 2022. More information about the change, including any additional effective dates, is available &lt;a href="https://www.bclaws.gov.bc.ca/civix/document/id/bills/billscurrent/3rd42nd:gov37-3" target="_blank"&gt;here&lt;/a&gt;.</t>
  </si>
  <si>
    <t>CA-BC-SBC2022,c42</t>
  </si>
  <si>
    <t>Energy Statutes Amendment Act, 2022</t>
  </si>
  <si>
    <t>Wildlife Act</t>
  </si>
  <si>
    <t>RSBC1996,c488</t>
  </si>
  <si>
    <t>Wildfire Act</t>
  </si>
  <si>
    <t>SBC2004,c31</t>
  </si>
  <si>
    <t>Water Sustainability Act</t>
  </si>
  <si>
    <t>SBC2014,c15</t>
  </si>
  <si>
    <t>Park Act</t>
  </si>
  <si>
    <t>RSBC1996,c344</t>
  </si>
  <si>
    <t>Mines Act</t>
  </si>
  <si>
    <t>RSBC1996,c293</t>
  </si>
  <si>
    <t>Land Title Act</t>
  </si>
  <si>
    <t>RSBC1996,c250</t>
  </si>
  <si>
    <t>Forest and Range Practices Act</t>
  </si>
  <si>
    <t>SBC2002,c69</t>
  </si>
  <si>
    <t>Forest Act</t>
  </si>
  <si>
    <t>RSBC1996,c157</t>
  </si>
  <si>
    <t>Environmental Management Act</t>
  </si>
  <si>
    <t>SBC2003,c53</t>
  </si>
  <si>
    <t>Fire Safety Act</t>
  </si>
  <si>
    <t>CA-BC-SBC2016,c19</t>
  </si>
  <si>
    <t>Published</t>
  </si>
  <si>
    <t>Nova Scotia</t>
  </si>
  <si>
    <t>Boilermaker Trade Regulations</t>
  </si>
  <si>
    <t>CA-NS-NSReg186/2016</t>
  </si>
  <si>
    <t>CA-NS-NSReg130/2022</t>
  </si>
  <si>
    <t>Boilermaker Trade Regulations–amendment</t>
  </si>
  <si>
    <t>Gasfitter Trade Regulations</t>
  </si>
  <si>
    <t>CA-NS-NSReg143/2017</t>
  </si>
  <si>
    <t>CA-NS-NSReg152/2022</t>
  </si>
  <si>
    <t>Gasfitter Trade Regulations–amendment</t>
  </si>
  <si>
    <t>Oil Heat System Technician Trade Regulations</t>
  </si>
  <si>
    <t>CA-NS-NSReg190/2016</t>
  </si>
  <si>
    <t>CA-NS-NSReg133/2022</t>
  </si>
  <si>
    <t>Oil Heat System Technician Trade Regulations–amendment</t>
  </si>
  <si>
    <t>New Brunswick</t>
  </si>
  <si>
    <t>Amendments to the Reduction of Greenhouse Gas Emissions Regulation under the Climate Change Act</t>
  </si>
  <si>
    <t>CA-NB-Prop2022-11-24</t>
  </si>
  <si>
    <t>Proposed (EHS Only)</t>
  </si>
  <si>
    <t>Ontario</t>
  </si>
  <si>
    <t>Proposed amendments to the Oil, Gas and Salt Resources Act, to remove the prohibition on carbon sequestration</t>
  </si>
  <si>
    <t>CA-ON-ERO-019-6296</t>
  </si>
  <si>
    <t>Canada</t>
  </si>
  <si>
    <t>Filing Manual</t>
  </si>
  <si>
    <t>CA-CER-FilingManual</t>
  </si>
  <si>
    <t>A change to this document has been announced. The effect of the change is to update the guidance on the filling requirements for fish and fish habitat by eliminating references and links to the Pipeline Associated Watercourse Crossings (5th Edition), which was provided to guide best practices and meet regulatory requirements but is no longer current or widely available. The first effective date of the document that makes the change is October 18, 2022. More information about the change is available in the &lt;a href="https://www.cer-rec.gc.ca/en/applications-hearings/submit-applications-documents/filing-manuals/filing-manual/filing-manual-updates/filing-manual-update-record.html" target="_blank"&gt;Filing Manual Update Record&lt;/a&gt;.</t>
  </si>
  <si>
    <t>CA-CER-FilingManual(2022-10-18)</t>
  </si>
  <si>
    <t>Filing Manual 2022-10-18 Amendments</t>
  </si>
  <si>
    <t>Bill 37 - Energy Statutes Amendment Act, 2022</t>
  </si>
  <si>
    <t>CA-BC-Bill37(42-3)</t>
  </si>
  <si>
    <t>Directive 073: Requirements for Inspection and Compliance of Oil Sands Mining and Processing Plant Operations in the Oil Sands Mining Area</t>
  </si>
  <si>
    <t>CA-AB-Dir.073</t>
  </si>
  <si>
    <t>A change to this document has been announced. According to the Alberta Energy Regulator (AER), the effect of this change is to bring the document "up to AER formatting standards," remove obsolete information, and update references to Directive 055: Storage Requirements for the Upstream Petroleum Industry (Ab.Dir055). The first effective date of the document that makes the change is November 18, 2022. More information about the change, including any additional effective dates, is available &lt;a href="https://static.aer.ca/prd/documents/directives/Directive073.pdf" target="_blank"&gt;here&lt;/a&gt;.</t>
  </si>
  <si>
    <t>CA-AB-Dir.073(2022-11-18)</t>
  </si>
  <si>
    <t>Directive 073: Requirements for Inspection and Compliance of Oil Sands Mining and Processing Plant Operations in the Oil Sands Mining Area 2022-11-18 Amendments</t>
  </si>
  <si>
    <t>Pipeline Act</t>
  </si>
  <si>
    <t>RSNS1989,c345</t>
  </si>
  <si>
    <t>A change to this document has been announced. The effect of this change is notably to expand the applicability of the document by (1) expanding the definition of "gas" to include "any gaseous substance intended to be used as fuel by an end user", "any gaseous substance intended to be chemically or physically transformed prior to exporting to be used as fuel by an end user", and "any substance prescribed by the regulations to be gas" to the definition of "gas"; and (2) expanding the definition of "oil" to include "any liquid substance intended to be used as a fuel by the end user". The first effective date of the document that makes the change is November 9, 2022. More information about the change, including any additional effective dates, is available &lt;a href="https://nslegislature.ca/sites/default/files/legc/PDFs/annual%20statutes/2022%20Fall/c055.pdf" target="_blank"&gt;here&lt;/a&gt;.</t>
  </si>
  <si>
    <t>CA-NS-SNS2022,c55</t>
  </si>
  <si>
    <t>An Act to Amend Chapter 37 of the Acts of 2001, the Underground Hydrocarbons Storage Act</t>
  </si>
  <si>
    <t>Environment Act</t>
  </si>
  <si>
    <t>SNS1994-95,c1</t>
  </si>
  <si>
    <t>A change to this document has been announced. The effect of this change, according to the government, is notably to:&lt;p&gt;&lt;li&gt;create an output-based pricing system that creates greenhouse gas emission limits and compliance obligations for certain industrial facilities;&lt;li&gt;provide repeal dates for provisions related to the currently implemented cap-and-trade program; and&lt;li&gt;establish penalties for non-compliant emitters.&lt;/p&gt; The first effective date of the document that makes the change is January 1, 2023. More information about the change, including any additional effective dates, is available &lt;a href="https://nslegislature.ca/sites/default/files/legc/PDFs/annual%20statutes/2022%20Fall/c046.pdf" target="_blank"&gt;here&lt;/a&gt;.</t>
  </si>
  <si>
    <t>CA-NS-SNS2022,c46</t>
  </si>
  <si>
    <t>An Act to Amend Chapter 1 of the Acts of 1994-95, the Environment Act</t>
  </si>
  <si>
    <t>Gas Distribution Act</t>
  </si>
  <si>
    <t>CA-NS-SNS1997,c4</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</si>
  <si>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href="https://nslegislature.ca/sites/default/files/legc/PDFs/annual%20statutes/2022%20Fall/c055.pdf" target="_blank"&gt;here&lt;/a&gt;.</t>
  </si>
  <si>
    <t>Newfoundland &amp; Labrador</t>
  </si>
  <si>
    <t>Petroleum Products Regulations</t>
  </si>
  <si>
    <t>CA-NL-NLR79/01</t>
  </si>
  <si>
    <t>CA-NL-NLR34/22</t>
  </si>
  <si>
    <t>Petroleum Products Regulations (Amendment)</t>
  </si>
  <si>
    <t>Wildlife Regulation</t>
  </si>
  <si>
    <t>Alta.Reg.143/1997</t>
  </si>
  <si>
    <t>A change to this document has been announced. The effect of this change is notably to:&lt;p&gt;&lt;li&gt; remove Myotis septentrionalis (Northern Myotis) from, and add Eptesicus fuscus (Big Brown Bat) to, the list of non-game animals;&lt;li&gt; remove Myotis lucifugus (Little Brown Myotis) and Eptesicus fuscus (Big Brown Bat) from the list of non-licence animals;&lt;li&gt; add Myotis lucifugus (Little Brown Myotis) and Myotis septentrionalis (Northern Myotis) to the list of endangered animals; and&lt;li&gt; add Hybognathus hankinsoni (Brassy Minnow) to the list of endangered fish.&lt;/p&gt; The first effective date of the document that makes the change is October 14, 2022. More information about the change, including any additional effective dates, is available &lt;a href="https://kings-printer.alberta.ca/documents/gazette/2022/pdf/20_Oct31_Part2.pdf" target="_blank"&gt;here&lt;/a&gt;.</t>
  </si>
  <si>
    <t>CA-AB-AR216/2022</t>
  </si>
  <si>
    <t>Miscellaneous Corrections Regulation</t>
  </si>
  <si>
    <t>Security Management Regulation</t>
  </si>
  <si>
    <t>Alta.Reg.230/2012</t>
  </si>
  <si>
    <t>Security Management for Critical Upstream Petroleum and Coal Infrastructure Regulation, 2013</t>
  </si>
  <si>
    <t>Alta.Reg.91/2013</t>
  </si>
  <si>
    <t>Oil Sands Conservation Regulation</t>
  </si>
  <si>
    <t>Alta.Reg.76/1988</t>
  </si>
  <si>
    <t>A change to this document has been announced. The effect of this change is to extend the effective period of these Rules for an additional five years. The first effective date of the document that makes the change is May 31, 2021. More information about the change, including any additional effective dates, is available &lt;a href="https://www.qp.alberta.ca/documents/gazette/2021/pdf/11_Jun15_Part2.pdf" target="_blank"&gt;here&lt;/a&gt;.</t>
  </si>
  <si>
    <t>Oil and Gas Conservation Rules</t>
  </si>
  <si>
    <t>Alta.Reg.151/1971</t>
  </si>
  <si>
    <t>A change to this document has been announced. The effect of this change is to require a well licensee to apply to the Alberta Energy Regulator to amend their licence if they intend to change the authorized purpose of a well to a purpose authorized under the Geothermal Resources Development Act (CA-AB-SA2020,cG-5.5). The first effective date of the document that makes the change is June 13, 2022. More information about the change, including any additional effective dates, is available &lt;a href="https://www.qp.alberta.ca/documents/gazette/2022/pdf/12_Jun30_Part2.pdf" target="_blank"&gt;here&lt;/a&gt; beginning on page 438 of the Gazette.</t>
  </si>
  <si>
    <t>Exploration Regulation</t>
  </si>
  <si>
    <t>Alta.Reg.284/2006</t>
  </si>
  <si>
    <t>Oil and Gas Corporation Act</t>
  </si>
  <si>
    <t>CA-NL-SNL2019,cO-6.1</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</si>
  <si>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href="https://www.assembly.nl.ca/HouseBusiness/Bills/ga50session2/bill2218.htm" target="_blank"&gt;here&lt;/a&gt;.</t>
  </si>
  <si>
    <t>CA-NL-SNL2022,cW-11.1</t>
  </si>
  <si>
    <t>Workplace Health, Safety and Compensation Act, 2022</t>
  </si>
  <si>
    <t>Alberta Tier 2 Soil and Groundwater Remediation Guidelines</t>
  </si>
  <si>
    <t>SGRG-Tier2-AB(2019)</t>
  </si>
  <si>
    <t>A change to this document has been announced. The effect of the change is notably to—&lt;ul&gt;&lt;li&gt;update references to documents that should be used in conjunction with this document;&lt;li&gt;specify Tier 2 options for specific exposure pathways and receptors by updating and adding relevant considerations such as direct human contact with soil, human vapour inhalation, protection of potable groundwater, soil contact for plants and invertebrates, protection of groundwater for aquatic life, and protection of groundwater for wildlife;&lt;li&gt;clarify that for Tier 2 risk assessments, similar rules for points of compliance are maintained as per Tier 1;&lt;li&gt;clarify that no regulatory closure is provided for exposure control and direct to other guidelines to obtain additional information on exposure control options;&lt;li&gt;require the compliance with certain Tier 1 values, such as requiring the toxicity reference values for human health specified in Tier 1 be adhered to at Tier 2;&lt;li&gt;update the Tier 2 pathway exclusion or guideline adjustment options in relation to human exposure pathways as the Tier 2 Site-Specific Risk Assessment option now requires the proponent to revisit all life stages and to reinvestigate sensitive stages to ensure the protection of these life stages as well;&lt;li&gt;update certain substances, parameters, and associated reference values used in the derivation of Tier 1 Guidelines; and&lt;li&gt;update the conditions for excluding the Domestic Use Aquifer (DUA) drinking water pathway.&lt;/ul&gt;&lt;p&gt;The first effective date of the document that makes the change is January 1, 2023. More information about the updated document is available &lt;a href="https://open.alberta.ca/dataset/aa212afe-2916-4be9-8094-42708c950313/resource/cd270bae-923b-4d03-a5e6-c8cab54a8071/download/aep-albertatier2guidelines-aug24-2022.pdf" target="_blank"&gt;here&lt;/a&gt;.</t>
  </si>
  <si>
    <t>CA-AB-SGRG-Tier2-AB(2022-08-29)</t>
  </si>
  <si>
    <t>Alberta Tier 2 Soil and Groundwater Remediation Guidelines 2022-08-29 Amendments</t>
  </si>
  <si>
    <t>Alberta Tier 1 Soil and Groundwater Remediation Guidelines</t>
  </si>
  <si>
    <t>SGRG-Tier1-AB(2019)</t>
  </si>
  <si>
    <t>A change to this document has been announced. The effect of the change is notably to—&lt;ul&gt;&lt;li&gt;modify the language and structure of the guidelines to improve clarity;&lt;li&gt;update certain references, such as removing the brief description of the three options for the management of the contaminated sites and adding a reference to &lt;a href="https://open.alberta.ca/publications/978146010579" target="_blank"&gt;the Contaminated Sites Policy Framework&lt;/a&gt; for more information;&lt;li&gt;clarify the soil quality guidelines for off-site surface migration by wind or water erosion;&lt;li&gt;further explain the need for groundwater investigations in cases where soil guidelines are not clearly linked to groundwater guidelines for certain substances, unless it can be clearly demonstrated that the substance has not migrated to groundwater;&lt;li&gt;add additional considerations for assessing and remediating salt-impacted wellsites in native grasslands, which are sensitive to disturbance;&lt;li&gt;revise limit values and quantities for various substances that should not be exceeded based on guidance values, such as the updated surface soil remediation guidance values, groundwater guidance values, and surface water quality guidance values; and&lt;li&gt;add guidelines and restrictions on new substances, such as new rules for perfluorooctane sulfonate (PFOS).&lt;/ul&gt;&lt;p&gt;The first effective date of the document that makes the change is January 1, 2023. More information about the updated document is available &lt;a href="https://open.alberta.ca/dataset/842becf6-dc0c-4cc7-8b29-e3f383133ddc/resource/018c0139-ae40-4537-af72-23458c8c58c7/download/aep-albertatier1guidelines-aug24-2022.pdf" target="_blank"&gt;here&lt;/a&gt;.</t>
  </si>
  <si>
    <t>CA-AB-SGRG-Tier1-AB(2022-08-29)</t>
  </si>
  <si>
    <t>Alberta Tier 1 Soil and Groundwater Remediation Guidelines 2022-08-29 Amendments</t>
  </si>
  <si>
    <t>Directive 087: Well Integrity Management</t>
  </si>
  <si>
    <t>CA-AB-Dir087</t>
  </si>
  <si>
    <t>A change to this document has been announced. According to the Alberta Energy Regulator, the effect of this change is notably to make "changes related to carbon dioxide (CO2) enhanced oil recovery (EOR) storage and CO2 sequestration schemes" and make this directive applicable to geothermal wells. The first effective date of the document that makes the change is October 19, 2022. More information about the change, including any additional effective dates, is available &lt;a href="https://static.aer.ca/prd/documents/bulletins/Bulletin-2022-32.pdf" target="_blank"&gt;here&lt;/a&gt;.</t>
  </si>
  <si>
    <t>CA-AB-Dir087(2022-05-11)</t>
  </si>
  <si>
    <t>Directive 087: Well Integrity Management 2022-05-11 Amendments</t>
  </si>
  <si>
    <t>Amendments to Certain Requirements under the Excess Soil Regulation</t>
  </si>
  <si>
    <t>CA-ON-ERO-019-6240</t>
  </si>
  <si>
    <t>Flaring and Venting Reduction Guideline</t>
  </si>
  <si>
    <t>CA-BC-FVRG</t>
  </si>
  <si>
    <t>A change to this document has been announced. The effect of the change is to clarify the venting restriction so that natural gas-powered pneumatic pumps at facilities that begin operating after January 1, 2021, rather than before January 1, 2021, must not emit natural gas unless the pumps operate 750 hours or less per year. The first effective date of the document that makes the change is September 2, 2022. More information about the change is available in &lt;a href="https://www.bcogc.ca/files/operations-documentation/Oil-and-Gas-Operations-Manual/Supporting-Documents/flaring-and-venting-reduction-guideline.pdf#page=6" target="_blank"&gt;the table of revisions&lt;/a&gt; within the document.</t>
  </si>
  <si>
    <t>CA-BC-FVRG(2022-09-02)</t>
  </si>
  <si>
    <t>Flaring and Venting Reduction Guideline 2022-09-02 Amendments</t>
  </si>
  <si>
    <t>Incident Reporting Instructions and Guidelines</t>
  </si>
  <si>
    <t>BC-IncidentReportingGuidelines</t>
  </si>
  <si>
    <t>A change to this document has been announced. Subsequent to that announcement, no customers were tracking changes to this document. As a result, no analysis of the change is available in the language that you have selected. No official notification of the change is readily available from the governmental or other authority that announced the change.</t>
  </si>
  <si>
    <t>CA-BC-IncidentReportingGuidelines(2022-09-28)</t>
  </si>
  <si>
    <t>Incident Reporting Instructions and Guidelines 2022-09-28 Amendments</t>
  </si>
  <si>
    <t>Oil and Gas Activity Operations Manual</t>
  </si>
  <si>
    <t>CA-BC-2019-12-20</t>
  </si>
  <si>
    <t>A change to this document has been announced. The effect of the change, according to its contents, is notably to—&lt;ul&gt;&lt;li&gt;require that all materials supporting applications or regulatory requirements that include work relating to the practice of professional engineering or professional geoscience made to the BC Oil and Gas Commission to comply with &lt;a href="https://nimonikapp.com/legislations/124719" target="_blank"&gt;the Professional Governance Act (CA-BC-SBC2018,c47)&lt;/a&gt; and &lt;a href="https://nimonikapp.com/legislations/654" target="_blank"&gt;the Bylaws of Engineers and Geoscientists British Columbia (BC-BA)&lt;/a&gt;, including any authentication requirements of documents;&lt;li&gt;introduce Simultaneous Operations Plan Requirements (previously Concurrent Operations Plan) for permit holders and operators conducting drilling, completion, well intervention, construction or production activities to identify, mitigate, or reduce the risk associated with simultaneous operations;&lt;li&gt;update requirements for choke manifold to remove the minimum distance requirement and instead require that they "be located outside the substructure and be readily accessible with safe routes of access and egress" and "provide safe and protected area for the crew to work during well control operations"; and &lt;li&gt;update wellsite spacing requirements and require a Wellsite Spacing Variance Hazard Assessment if the listed spacing distances cannot be met due to wellsite restrictions.&lt;/ul&gt;&lt;p&gt;The first effective date of the document that makes the change is October 1, 2022. More information about the change is available in &lt;a href="https://www.bcogc.ca/files/operations-documentation/Oil-and-Gas-Operations-Manual/oil-and-gas-activity-operations-manual.pdf#page=6" target="_blank"&gt;the table of revisions&lt;/a&gt; within the document.&lt;/p&gt;</t>
  </si>
  <si>
    <t>CA-BC-2019-12-20(2022-09-01)</t>
  </si>
  <si>
    <t>Oil and Gas Activity Operations Manual 2022-09-01 Amendments</t>
  </si>
  <si>
    <t>CA-BC-SBC2022,c25</t>
  </si>
  <si>
    <t>Environmental Management Amendment Act, 2022</t>
  </si>
  <si>
    <t>CA-AB-AR213/2022</t>
  </si>
  <si>
    <t>Wildlife Amendment Regulation</t>
  </si>
  <si>
    <t>CA-AB-AR211/2022</t>
  </si>
  <si>
    <t>Wildlife (Bat and Minnow Species Status Designation) Amendment Regulation</t>
  </si>
  <si>
    <t>Directive 058: Oilfield Waste Management Requirements for the Upstream Petroleum Industry</t>
  </si>
  <si>
    <t>AB.Dir058</t>
  </si>
  <si>
    <t>A change to this document has been announced. According to the Alberta Energy Regulator, the effect of this change is to:&lt;p&gt;&lt;li&gt;make this Directive applicable to geothermal resource development;&lt;li&gt;clarify that oilfield waste management components are not permitted at geothermal sites; and&lt;li&gt;add references to the Geothermal Resource Development Rules (CA-AB-AR116/2022).&lt;/p&gt; The first effective date of the document that makes the change is October 13, 2022. More information about the change, including any additional effective dates, is available &lt;a href="https://static.aer.ca/prd/documents/directives/Directive058.pdf" target="_blank"&gt;here&lt;/a&gt;.</t>
  </si>
  <si>
    <t>CA-AB.Dir058(2022-10-07)</t>
  </si>
  <si>
    <t>Directive 058: Oilfield Waste Management Requirements for the Upstream Petroleum Industry 2022-10-07 Amendments</t>
  </si>
  <si>
    <t>Greenhouse Gas Pollution Pricing Act</t>
  </si>
  <si>
    <t>CA-SC2018,c12</t>
  </si>
  <si>
    <t>A change to this document has been announced. The effect of the change, according to the government, is to "replace the [global warming potential] values from the [Intergovernmental Panel on Climate Change's (IPCC)] &lt;a href="https://www.ipcc.ch/site/assets/uploads/2018/02/ar4-wg1-chapter2-1.pdf" target="_blank"&gt;Fourth Assessment Report&lt;/a&gt; (AR4) with those from the IPCC’s &lt;a href="https://www.ipcc.ch/assessment-report/ar5/" target="_blank"&gt;Fifth Assessment Report&lt;/a&gt; (AR5)" for certain greenhouse gases that alters the quantification of greenhouse gas (GHG) emissions for covered facilities under the Output-Based Pricing System Regulations (CA-SOR/2019-266) and quantification of GHG reductions for proponents under the Canadian Greenhouse Gas Offset Credit System Regulations (CA-SOR/2022-111). It also "[clarifies] the names of perfluorocarbons in Schedule 3 [of the Act] by adding their acronyms, in addition to their molecular formulas, as is currently the case for hydrofluorocarbons (HFCs)". The first effective date of the document that makes the change is January 1, 2023. More information about the change, including any additional effective dates, is available &lt;a href="https://canadagazetteducanada.gc.ca/rp-pr/p2/2022/2022-10-26/html/sor-dors210-eng.html" target="_blank"&gt;here&lt;/a&gt;.</t>
  </si>
  <si>
    <t>CA-SOR/2022-210</t>
  </si>
  <si>
    <t>Order Amending Schedule 3 to the Greenhouse Gas Pollution Pricing Act</t>
  </si>
  <si>
    <t>CA-SOR/2022-211</t>
  </si>
  <si>
    <t>Order Amending Schedule 4 to the Greenhouse Gas Pollution Pricing Act</t>
  </si>
  <si>
    <t>Directive S-20: Saskatchewan Upstream Flaring and Incineration Requirements</t>
  </si>
  <si>
    <t>CA-SK-Dir.S-20</t>
  </si>
  <si>
    <t>A change to this document has been announced. According to the Saskatchewan government, the effect of the change is to "align with Directive PNG036 &lt;a href="https://nimonikapp.com/legislations/157253" target="_blank"&gt;[Venting and Flaring Requirements]&lt;/a&gt;" (CA-SK-Dir.PNG036). It focuses primarily on organizational and formatting modifications, including—&lt;ul&gt;&lt;li&gt;modifying the wording of certain sections to improve clarity, such as replacing references to the Ambient Air Quality Standards with the references to air quality standards set out in Directive PNG036;&lt;li&gt;removing certain requirements from the scope of this document to avoid duplication with requirements already covered in other Directives, for example, removing spacing requirements and adding a reference to Directive S-01 for other factors that may increase setback distances from occupied dwellings; and&lt;li&gt;explicitly requiring licensees to maintain the area around flares and incinerators to minimize fire hazards.&lt;/ul&gt;&lt;p&gt;No official notification of the change is readily available from the governmental or other authority that announced the change.&lt;/p&gt;</t>
  </si>
  <si>
    <t>CA-SK-Dir.S-20(2022-06-01)</t>
  </si>
  <si>
    <t>Directive S-20: Saskatchewan Upstream Flaring and Incineration Requirements 2022-06-01 Amendments</t>
  </si>
  <si>
    <t>Venting and Flaring Requirements</t>
  </si>
  <si>
    <t>CA-SK-Dir.PNG036</t>
  </si>
  <si>
    <t>A change to this document has been announced. According to its contents, the effect of the changes is to—&lt;ul&gt;&lt;li&gt;clarify and align the requirements of Directive S-20: Saskatchewan Upstream Flaring and Incineration Requirements &lt;a href="https://nimonikapp.com/legislations/115693" target="_blank"&gt;(CA-SK-Dir.S-20)&lt;/a&gt;;&lt;li&gt;extend this document "to pipelines and associated facilities governed by The Pipelines Act, 1998"&lt;a href="https://nimonikapp.com/legislations/104373" target="_blank"&gt;(SS1998,cP-12.1)&lt;/a&gt;;&lt;li&gt;clarify the requirements for air dispersion modeling by permittees at wells or facilities;&lt;li&gt;eliminate compliance requirements for oil wells and facilities licensed prior to January 1, 2020;&lt;li&gt;add a new requirement to document attempts to obtain consent from all impacted parties for flaring activities; &lt;li&gt;update the list of exemptions from LDAR (Gas Facility Leak Detection and Repair) program requirements for certain isolation valves on transmission pipelines;&lt;li&gt;require LDAR program reports to be submitted by April 1st of the following year;&lt;li&gt;remove certain requirements for the release of non-combustible or inert gas mixtures and the temporary venting; and&lt;li&gt;require notifications to the Ministry of Energy and Resources (ER) through the Integrated Resource Information System (IRIS) for all temporary and non-routine flaring and venting events that last longer than 4 hours.&lt;/ul&gt;&lt;p&gt;No official notification of the change is readily available from the governmental or other authority that announced the change.&lt;/p&gt;</t>
  </si>
  <si>
    <t>CA-SK-Dir.PNG036(2022-06-01)</t>
  </si>
  <si>
    <t>Venting and Flaring Requirements 2022-06-01 Amendments</t>
  </si>
  <si>
    <t>Directive PNG017: Measurement Requirements for Oil and Gas Operations</t>
  </si>
  <si>
    <t>CA-SK-Dir.PNG017</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</si>
  <si>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href="https://www.saskatchewan.ca/business/agriculture-natural-resources-and-industry/oil-and-gas/oil-and-gas-licensing-operations-and-requirements/oil-and-gas-drilling-and-operations/measurement-requirements" target="_blank"&gt;here&lt;/a&gt;.</t>
  </si>
  <si>
    <t>CA-SK-Dir.PNG017(2022-08-01)</t>
  </si>
  <si>
    <t>Directive PNG017: Measurement Requirements for Oil and Gas Operations 2022-08-01 Amendments</t>
  </si>
  <si>
    <t>CA-AB-AERbulletin2022-32</t>
  </si>
  <si>
    <t>Bulletin 2022-32: New Edition of Directive 065</t>
  </si>
  <si>
    <t>Directive 020: Well Abandonment</t>
  </si>
  <si>
    <t>AB.Dir020</t>
  </si>
  <si>
    <t>A change to this document has been announced. According to the Alberta Energy Regulator, the effect of this change is notably to make updates "related to carbon dioxide (CO2) enhanced oil recovery (EOR) storage and CO2 sequestration" rules and include references to the Geothermal Resource Development Rules (CA-AB-AR116/2022). The first effective date of the document that makes the change is October 19, 2022. More information about the change, including any additional effective dates, is available &lt;a href="https://static.aer.ca/prd/documents/bulletins/Bulletin-2022-32.pdf" target="_blank"&gt;here&lt;/a&gt;.</t>
  </si>
  <si>
    <t>Directive 013: Suspension Requirements for Wells</t>
  </si>
  <si>
    <t>AB.Dir013</t>
  </si>
  <si>
    <t>A change to this document has been announced. According to the Alberta Energy Regulator, the effect of this change is notably to make updates "related to carbon dioxide (CO2) enhanced oil recovery (EOR) storage and CO2 sequestration" rules. The first effective date of the document that makes the change is October 19, 2022. More information about the change, including any additional effective dates, is available &lt;a href="https://static.aer.ca/prd/documents/bulletins/Bulletin-2022-32.pdf" target="_blank"&gt;here&lt;/a&gt;.</t>
  </si>
  <si>
    <t>Directive 065: Resources Applications for Oil and Gas Reservoirs</t>
  </si>
  <si>
    <t>AB.Dir065</t>
  </si>
  <si>
    <t>A change to this document has been announced. According to the Alberta Energy Regulator, the effect of this change is notably to add:&lt;p&gt;&lt;li&gt;"application requirements for [carbon dioxide (CO2) enhanced oil recovery (EOR)] storage schemes";&lt;li&gt; "requirements for CO2 sequestration schemes";&lt;li&gt;"notification requirements for CO2 EOR storage and CO2 sequestrations scheme applications"; and&lt;li&gt;"approval transfer requirements for CO2 sequestration schemes.&lt;/p&gt; The first effective date of the document that makes the change is October 19, 2022. More information about the change, including any additional effective dates, is available &lt;a href="https://static.aer.ca/prd/documents/bulletins/Bulletin-2022-32.pdf" target="_blank"&gt;here&lt;/a&gt;.</t>
  </si>
  <si>
    <t>Quebec</t>
  </si>
  <si>
    <t>Regulation respecting activities in wetlands, bodies of water and sensitive areas</t>
  </si>
  <si>
    <t>CA-QC-OC871-2020(4)</t>
  </si>
  <si>
    <t>A change to this document has been announced. The effect of this change is notably to:&lt;li&gt;revise the regulation's applicability concerning activities that are regulated by other documents;&lt;li&gt;revise the definition of "high-velocity flood zone" to include ice jam flood zones without ice movement;&lt;li&gt;permit work that requires the removal and trimming of vegetation that impermeabilizes the ground, in the case of the construction of a temporary road;&lt;li&gt;establish rules for works on a pipe in a sewer system, storm water management system, ditch, or outflow within a lakeshore or riverbank;&lt;li&gt;provide that dewatering or narrowing works on a watercourse by not last more than 30 consecutive days, and establish conditions for works lasting up to 10 days and more than 10 days; and&lt;li&gt;prohibit the operation of motor vehicles and races on alvars ("open natural environment[s] either flat or slightly inclined, sometimes covered by a thin layer of soil, characterized by limestone or dolomite outcrops, as well as sparse vegetation composed mainly of shrubs, herbaceous plants and moss capable of withstanding extreme humidity and drought"), with certain circulation-based exceptions.&lt;ul&gt;&lt;/ul&gt; The first effective date of the document that makes the change is February 13, 2023. More information about the change, including any additional effective dates, is available &lt;a href="https://www2.publicationsduquebec.gouv.qc.ca/dynamicSearch/telecharge.php?type=1&amp;file=105942.pdf" target="_blank"&gt;here&lt;/a&gt; beginning on page 3263 of the Gazette and &lt;a href="https://nimonikapp.com/legislations/347060" target="_blank"&gt;here&lt;/a&gt;.</t>
  </si>
  <si>
    <t>CA-QC-IN(R)2022-10-19</t>
  </si>
  <si>
    <t>Information note (Regulations) 2022-10-19</t>
  </si>
  <si>
    <t>Administrative Monetary Penalties Regulations (National Energy Board)</t>
  </si>
  <si>
    <t>SOR/2013-138</t>
  </si>
  <si>
    <t>A change to this document has been announced. The effect of this change is notably to replace references to the National Energy Board (the Board) with the Canadian Energy Regulator (the Regulator), and references to the National Energy Board Act (RSC1985,cN-7) with the Canadian Energy Regulator Act (CA-SC2019,c28,s10). The first effective date of the document that makes the change is September 27, 2022. More information about the change, including any additional effective dates, is available &lt;a href="https://canadagazetteducanada.gc.ca/rp-pr/p2/2022/2022-10-12/html/sor-dors199-eng.html" target="_blank"&gt;here&lt;/a&gt;.</t>
  </si>
  <si>
    <t>CA-SOR/2022-199</t>
  </si>
  <si>
    <t>Regulations Amending Certain Canadian Energy Regulator Regulations (Miscellaneous Program)</t>
  </si>
  <si>
    <t>Heavy-duty Vehicle and Engine Greenhouse Gas Emission Regulations</t>
  </si>
  <si>
    <t>SOR/2013-24</t>
  </si>
  <si>
    <t>A change to this document has been announced. According to the government, the effect of this change is notably to modify definitions and regulatory text "to maintain alginment with the corresponding technical amendments made by the U.S. EPA" in its Final Rule &lt;a href="https://www.federalregister.gov/documents/2021/06/29/2021-05306/improvements-for-heavy-duty-engine-and-vehicle-test-procedures-and-other-technical-amendments" target="_blank"&gt;Improvements for Heavy-Duty Engine and Vehicle Test Procedures, and Other Technical Amendments&lt;/a&gt; (US-86FR34308) including:&lt;p&gt;&lt;li&gt;revising the definition of a "heavy-duty vehicle" to mean only "an on-road vehicle that has a [gross vehicle weight rating (GVWR)] of more than 3 856 kg (8 500 pounds)";&lt;li&gt;revising the definition of a "heavy-duty incomplete vehicle" "to clarify that a heavy-duty incomplete vehicle is still characterized as an on-road vehicle that meets the GVWR requirements of a heavy-duty vehicle, has a curb weight of more than 2 722 kg (6 000 pounds), or has a basic vehicle frontal area in excess of 4.2 m2 (45 square feet)";&lt;li&gt;revising the definitions of “heavy heavy-duty vehicle” and “medium heavy-duty vehicle” "to ensure that electric, fuel cell or hybrid vocational vehicles are grouped with their correct class of vehicle under the Regulations for the 2021 and subsequent model years to reflect the changes made in the U.S. EPA technical amendments";&lt;li&gt;allowing "regulated companies to make the model year for a vehicle one year later than the calendar year during which the vehicle's main assembly is completed";&lt;li&gt;allowing "companies to have fleets that are of the same engine subfamilies as in the United States" for simplified participation in the carbon dioxide (CO2) emission credit system; and&lt;li&gt;revising the definition of "electric vehicle" and adding a definition for "fuel cell vehicle" to clarify that "hydrogen fuel cell vehicles can [...] be assumed to have an emission of zero grams of CO2 per short ton-mile".&lt;/p&gt; The first effective date of the document that makes the change is October 3, 2022. More information about the change, including any additional effective dates, is available &lt;a href="https://canadagazetteducanada.gc.ca/rp-pr/p2/2022/2022-10-12/html/sor-dors204-eng.html" target="_blank"&gt;here&lt;/a&gt;.</t>
  </si>
  <si>
    <t>CA-SOR/2022-204</t>
  </si>
  <si>
    <t>Regulations Amending Certain Regulations Made Under the Canadian Environmental Protection Act, 1999</t>
  </si>
  <si>
    <t>On-Road Vehicle and Engine Emission Regulations</t>
  </si>
  <si>
    <t>SOR/2003-2</t>
  </si>
  <si>
    <t>A change to this document has been announced. The effect of this change is to revise the definitions of "heavy-duty vehicle" and "light-duty truck" to conform with the Heavy-duty Vehicle and Engine Greenhouse Gas Emission Regulations (SOR/2013-24) and corresponding rules in the United States. According to the government, the change "[ensures] that a light-duty truck is not characterized as a heavy-duty vehicle". The first effective date of the document that makes the change is October 3, 2022. More information about the change, including any additional effective dates, is available &lt;a href="https://canadagazetteducanada.gc.ca/rp-pr/p2/2022/2022-10-12/html/sor-dors204-eng.html" target="_blank"&gt;here&lt;/a&gt;.</t>
  </si>
  <si>
    <t>Manitoba</t>
  </si>
  <si>
    <t>Treatment and Disposal of Petroleum Contaminated Soil</t>
  </si>
  <si>
    <t>CA-MB-TDPCS</t>
  </si>
  <si>
    <t>CA-MB-TDPCS-2016</t>
  </si>
  <si>
    <t>Treatment and Disposal of Petroleum Contaminated Soil 2016 version</t>
  </si>
  <si>
    <t>CA-CER-FilingManual(2021-11-19)</t>
  </si>
  <si>
    <t>Filing Manual 2021-11-19 Amendments</t>
  </si>
  <si>
    <t>CA-CER-FilingManual(2022-01-26)</t>
  </si>
  <si>
    <t>Filing Manual 2022-01-26 Amendments</t>
  </si>
  <si>
    <t>CA-CER-FilingManual(2022-08-31)</t>
  </si>
  <si>
    <t>Filing Manual 2022-08-31 Amendments</t>
  </si>
  <si>
    <t>Directive 068: ERCB Security Deposits</t>
  </si>
  <si>
    <t>AB.Dir068</t>
  </si>
  <si>
    <t>A change to this document has been announced. According to the Alberta Energy Regulator, the effect of this change is notably to "clarify requirements and process for licensees submitting a request for a refund", create a new form "for the licensee to submit with their financial instrument or letter of credit [which] allows the licensee to specify program-specific information or the application number for which security is provided", and add references to rules concerning geothermal resource development. The first effective date of the document that makes the change is October 3, 2022. More information about the change, including any additional effective dates, is available &lt;a href="https://nimonikapp.com/legislations/91195" target="_blank"&gt;here&lt;/a&gt;.</t>
  </si>
  <si>
    <t>CA-AB-AERbulletin2022-30</t>
  </si>
  <si>
    <t>Bulletin 068: New Edition of Directive 068</t>
  </si>
  <si>
    <t>Directive 079: Surface Development in Proximity to Abandoned Wells</t>
  </si>
  <si>
    <t>AB.Dir079</t>
  </si>
  <si>
    <t>A change to this document has been announced. According to the Alberta Energy Regulator, the effect of this change is to make this Directive applicable to geothermal resource development. The first effective date of the document that makes the change is September 6, 2022. More information about the change, including any additional effective dates, is available &lt;a href="https://static.aer.ca/prd/documents/directives/Directive079.pdf" target="_blank"&gt;here&lt;/a&gt;.</t>
  </si>
  <si>
    <t>CA-AB-AB.Dir079(2022-09-06)</t>
  </si>
  <si>
    <t>Directive 079: Surface Development in Proximity to Abandoned Wells 2022-09-06 Amendments</t>
  </si>
  <si>
    <t>Z245.11-17 - Steel fittings</t>
  </si>
  <si>
    <t>CA-CSAZ245.11-17</t>
  </si>
  <si>
    <t>A new edition of this document has been announced. Subsequent to that announcement, no customers were tracking changes to this document. As a result, no analysis of the change is available in the language that you have selected. More information about the change is available &lt;a href="https://www.csagroup.org/fr/store/product/2701373/" target="_blank"&gt;here&lt;/a&gt;.</t>
  </si>
  <si>
    <t>CA-CSAZ245.11:22</t>
  </si>
  <si>
    <t>CSA Z245.11:22 - Steel fittings</t>
  </si>
  <si>
    <t>Z245.1-18 - Steel pipe</t>
  </si>
  <si>
    <t>CA-CSAZ245.1-18</t>
  </si>
  <si>
    <t>A new edition of this document has been announced. Subsequent to that announcement, no customers were tracking changes to this document. As a result, no analysis of the change is available in the language that you have selected. More information about the change is available &lt;a href="https://www.csagroup.org/store/product/2701654/" target="_blank"&gt;here&lt;/a&gt;.</t>
  </si>
  <si>
    <t>CA-CSAZ245.1:22</t>
  </si>
  <si>
    <t>CSA Z245.1:22 - Steel pipe</t>
  </si>
  <si>
    <t>Z245.15-17 - Steel valves</t>
  </si>
  <si>
    <t>CA-CSAZ245.15-17</t>
  </si>
  <si>
    <t>A new edition of this document has been announced. Subsequent to that announcement, no customers were tracking changes to this document. As a result, no analysis of the change is available in the language that you have selected. More information about the change is available &lt;a href="https://www.csagroup.org/store/product/CSA%20Z245.15%3A22/" target="_blank"&gt;here&lt;/a&gt;.</t>
  </si>
  <si>
    <t>CA-CSAZ245.15:22</t>
  </si>
  <si>
    <t>CSA Z245.15:22 - Steel valves</t>
  </si>
  <si>
    <t>Z245.30-18 - Field-applied external coatings for steel pipeline systems</t>
  </si>
  <si>
    <t>CA-CSAZ245.30-18</t>
  </si>
  <si>
    <t>A new edition of this document has been announced. According to the CSA Group, the new edition of this document:&lt;p&gt;&lt;li&gt;contains a requirement for a digital surface contact thermometer;&lt;li&gt;revises requirements for holiday inspections;&lt;li&gt;revises "test procedures for hardness and peel adhesion";&lt;li&gt;revises "manufacturer qualification coating test requirements for all [flow control] systems";&lt;li&gt;revises "applicator qualification and coating quality requirements" for certain system types; and&lt;li&gt;adds a "new Annex A on holiday inspection of existing coating".&lt;/p&gt; The first effective date of the document that makes the change is August 16, 2022. More information about the change, including any additional effective dates, is available &lt;a href="https://www.csagroup.org/store/product/2703706/" target="_blank"&gt;here&lt;/a&gt;.</t>
  </si>
  <si>
    <t>CA-CSAZ245.30:22</t>
  </si>
  <si>
    <t>CSA Z245.30:22 - Field-applied external coatings for steel pipeline systems</t>
  </si>
  <si>
    <t>Oil and Gas Processing Facility Regulation</t>
  </si>
  <si>
    <t>CA-BC-BCReg48/2021Appx1</t>
  </si>
  <si>
    <t>A change to this document has been announced. The effect of this change is notably to provide that necessary security management programs be prepared and maintained in accordance with the Security Management Regulation (CA-BC-BCReg181/2022) and CSA Standard Z246.1 Security management for petroleum and natural gas industry systems. The first effective date of the document that makes the change is June 1, 2023. The most recent edition of CSA Z246.1 is available &lt;a href="https://nimonikapp.com/legislations/287457" target="_blank"&gt;here&lt;/a&gt; (in NimonikApp) and &lt;a href="https://www.csagroup.org/store/product/CSA%20Z246.1%3A21/" target="_blank"&gt;here&lt;/a&gt; (in the CSA Store). More information about the change, including any additional effective dates, is available &lt;a href="https://www.bclaws.gov.bc.ca/civix/document/id/regulationbulletin/regulationbulletin/r0181_2022" target="_blank"&gt;here&lt;/a&gt;.</t>
  </si>
  <si>
    <t>CA-BC-BCReg181/2022</t>
  </si>
  <si>
    <t>Liquefied Natural Gas Facility Regulation</t>
  </si>
  <si>
    <t>BCReg146/2014</t>
  </si>
  <si>
    <t xml:space="preserve">A change to this document has been announced. The effect of this change is notably to provide that necessary security management programs be prepared and maintained in accordance with the Security Management Regulation (CA-BC-BCReg181/2022) and CSA Standard Z246.1 Security management for petroleum and natural gas industry systems. The first effective date of the document that makes the change is June 1, 2023. The most recent edition of CSA Z246.1 is available &lt;a href="https://nimonikapp.com/legislations/287457" target="_blank"&gt;here&lt;/a&gt; (in NimonikApp) and &lt;a href="https://www.csagroup.org/store/product/CSA%20Z246.1%3A21/" target="_blank"&gt;here&lt;/a&gt; (in the CSA Store). More information about the change, including any additional effective dates, is available &lt;a href="https://www.bclaws.gov.bc.ca/civix/document/id/regulationbulletin/regulationbulletin/r0181_2022" target="_blank"&gt;here&lt;/a&gt;. </t>
  </si>
  <si>
    <t>Emergency Management Regulation, 2017</t>
  </si>
  <si>
    <t>BCReg217/2017</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</si>
  <si>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href="https://www.bclaws.gov.bc.ca/civix/document/id/regulationbulletin/regulationbulletin/r0181_2022" target="_blank"&gt;here&lt;/a&gt;.</t>
  </si>
  <si>
    <t>Manual 002: Drilling Waste Inspections</t>
  </si>
  <si>
    <t>AB.Man02</t>
  </si>
  <si>
    <t>A change to this document has been announced. According to the Alberta Energy Regulator (AER), the effect of this change is notably to:&lt;p&gt;&lt;li&gt;add or remove "noncompliance statements to reflect the current edition of Directive 050: Drilling Waste Management" (AB.Dir050);&lt;li&gt;add or remove "noncompliance statements to reflect other current AER requirements and energy resource enactments (e.g., Directive 058: Oilfield Waste Management Requirements for the Upstream Petroleum Industry [AB.Dir058], Oil and Gas Conservation Act [RSA2000,cO-6])"; and&lt;li&gt;remove "the low- and high-risk ratings to align with [AER's] &lt;a href="https://static.aer.ca/prd/documents/enforcement/IntegratedComplianceAssuranceFramework_February2016.pdf" target="_blank"&gt;Integrated Compliance Assurance Framework&lt;/a&gt; and Manual 013: Compliance and Enforcement Program" (CEP-AB).&lt;/p&gt; The first effective date of the document that makes the change is September 6, 2022. More information about the change, including any additional effective dates, is available &lt;a href="https://static.aer.ca/prd/documents/bulletins/Bulletin-202227.pdf" target="_blank"&gt;here&lt;/a&gt;.</t>
  </si>
  <si>
    <t>CA-AB-AERbulletin2022-27</t>
  </si>
  <si>
    <t>Bulletin 2022-27: New Edition of Manual 002: Drilling Waste Inspections</t>
  </si>
  <si>
    <t>Directive 036: Drilling Blowout Prevention Requirements and Procedures</t>
  </si>
  <si>
    <t>AB.Dir036</t>
  </si>
  <si>
    <t>A change to this document has been announced. According to the Alberta Energy Regulator, the effect of this change is to make this Directive applicable to geothermal resource development. The first effective date of the document that makes the change is August 22, 2022. More information about the change, including any additional effective dates, is available &lt;a href="https://static.aer.ca/prd/documents/directives/Directive036.pdf" target="_blank"&gt;here&lt;/a&gt;.</t>
  </si>
  <si>
    <t>CA-AB-AB.Dir036(2022-08-22)</t>
  </si>
  <si>
    <t>Directive 036: Drilling Blowout Prevention Requirements and Procedures 2022-08-22</t>
  </si>
  <si>
    <t>Directive 010: Minimum Casing Design Requirements</t>
  </si>
  <si>
    <t>AB.Dir010</t>
  </si>
  <si>
    <t>A change to this document has been announced. According to the Alberta Energy Regulator, the effect of this change is to make this Directive applicable to geothermal resource development. The first effective date of the document that makes the change is August 22, 2022. More information about the change, including any additional effective dates, is available &lt;a href="https://static.aer.ca/prd/documents/directives/Directive010.pdf" target="_blank"&gt;here&lt;/a&gt;.</t>
  </si>
  <si>
    <t>CA-AB-AB.Dir010(2022-08-22)</t>
  </si>
  <si>
    <t>Directive 010: Minimum Casing Design Requirements 2022-08-22 Amendments</t>
  </si>
  <si>
    <t>Directive 008: Surface Casing Depth Requirements</t>
  </si>
  <si>
    <t>AB.Dir008</t>
  </si>
  <si>
    <t>A change to this document has been announced. According to the Alberta Energy Regulator, the effect of this change is to make this Directive applicable to geothermal resource development. The first effective date of the document that makes the change is August 22, 2022. More information about the change, including any additional effective dates, is available &lt;a href="https://static.aer.ca/prd/documents/directives/Directive008_0.pdf" target="_blank"&gt;here&lt;/a&gt;.</t>
  </si>
  <si>
    <t>CA-AB-AB.Dir008(2022-08-22)</t>
  </si>
  <si>
    <t>Directive 008: Surface Casing Depth Requirements 2022-08-22 Amendments</t>
  </si>
  <si>
    <t>Directive 076: Operator Declaration Regarding Measurement and Reporting Requirements</t>
  </si>
  <si>
    <t>AB.Dir076</t>
  </si>
  <si>
    <t>A change to this document has been announced. According to the Alberta Energy Regulator, the effect of this change is to make this Directive applicable to geothermal resource development. The first effective date of the document that makes the change is August 23, 2022. More information about the change, including any additional effective dates, is available &lt;a href="https://static.aer.ca/prd/documents/directives/Directive076.pdf" target="_blank"&gt;here&lt;/a&gt;.</t>
  </si>
  <si>
    <t>CA-AB-AB.Dir076(2022-08-23)</t>
  </si>
  <si>
    <t>Directive 076: Operator Declaration Regarding Measurement and Reporting Requirements 2022-08-23 Amendments</t>
  </si>
  <si>
    <t>Directive 055: Storage Requirements for the Upstream Petroleum Industry</t>
  </si>
  <si>
    <t>Ab.Dir055</t>
  </si>
  <si>
    <t>A change to this document has been announced. According to the Alberta Energy Regulator, the effect of this change is to make this Directive applicable to geothermal resource development. The first effective date of the document that makes the change is September 1, 2022. More information about the change, including any additional effective dates, is available &lt;a href="https://static.aer.ca/prd/documents/directives/Directive055.pdf" target="_blank"&gt;here&lt;/a&gt;.</t>
  </si>
  <si>
    <t>CA-AB-AB.Dir055(2022-09-01)</t>
  </si>
  <si>
    <t>Directive 055: Storage Requirements for the Upstream Petroleum Industry 2022-09-01 Amendments</t>
  </si>
  <si>
    <t>Directive 009: Casing Cementing Minimum Requirements</t>
  </si>
  <si>
    <t>AB.Dir009</t>
  </si>
  <si>
    <t>A change to this document has been announced. According to the Alberta Energy Regulator, the effect of this change is to make this Directive applicable to geothermal resource development. The first effective date of the document that makes the change is August 24, 2022. More information about the change, including any additional effective dates, is available &lt;a href="https://static.aer.ca/prd/documents/directives/Directive009.pdf" target="_blank"&gt;here&lt;/a&gt;.</t>
  </si>
  <si>
    <t>CA-AB-AB.Dir009(2022-08-24)</t>
  </si>
  <si>
    <t>Directive 009: Casing Cementing Minimum Requirements 2022-08-24 Amendments</t>
  </si>
  <si>
    <t>Directive 050: Drilling Waste Management</t>
  </si>
  <si>
    <t>AB.Dir050</t>
  </si>
  <si>
    <t>A change to this document has been announced. According to the Alberta Energy Regulator, the effect of this change is to make this Directive applicable to geothermal resource development. The first effective date of the document that makes the change is August 24, 2022. More information about the change, including any additional effective dates, is available &lt;a href="https://static.aer.ca/prd/documents/directives/Directive050.pdf" target="_blank"&gt;here&lt;/a&gt;.</t>
  </si>
  <si>
    <t>CA-AB-AB.Dir050(2022-08-24)</t>
  </si>
  <si>
    <t>Directive 050: Drilling Waste Management 2022-08-24 Amendments</t>
  </si>
  <si>
    <t>Directive 040: Pressure and Deliverability Testing Oil and Gas Wells</t>
  </si>
  <si>
    <t>AB.Dir040</t>
  </si>
  <si>
    <t>A change to this document has been announced. According to the Alberta Energy Regulator, the effect of this change is to make this Directive applicable to geothermal resource development. The first effective date of the document that makes the change is August 24, 2022. More information about the change, including any additional effective dates, is available &lt;a href="https://static.aer.ca/prd/documents/directives/Directive040.pdf" target="_blank"&gt;here&lt;/a&gt;.</t>
  </si>
  <si>
    <t>CA-AB-AB.Dir040(2022-08-24)</t>
  </si>
  <si>
    <t>Directive 040: Pressure and Deliverability Testing Oil and Gas Wells 2022-08-24 Amendments</t>
  </si>
  <si>
    <t>Manual 001: Facility and Well Site Inspections</t>
  </si>
  <si>
    <t>AB.Man01</t>
  </si>
  <si>
    <t>A change to this document has been announced. According to the Alberta Energy Regulator (AER), the effect of this change is notably to:&lt;li&gt;"[add] noncompliance statements for the specified enactments (e.g. &lt;a href="https://canlii.ca/t/824h" target="_blank"&gt;Public Lands Act&lt;/a&gt;, &lt;a href="https://canlii.ca/t/8220" target="_blank"&gt;Water Act&lt;/a&gt;);&lt;li&gt;"[add] or [remove] noncompliance statements to reflect current AER requirements and energy resource enactments (e.g., &lt;a href="https://static.aer.ca/prd/documents/directives/Directive058.pdf" target="_blank"&gt;Directive 058: Oilfield Waste Management Requirements for the Upstream Petroleum Industry&lt;/a&gt;, &lt;a href="https://canlii.ca/t/824r" target="_blank"&gt;Oil and Gas Conservation Act&lt;/a&gt;);&lt;li&gt;"[remove] the low- and high-risk ratings to align with our &lt;a href="https://static.aer.ca/prd/documents/enforcement/IntegratedComplianceAssuranceFramework_February2016.pdf" target="_blank"&gt;Integrated Compliance Assurance Framework and &lt;a href="https://static.aer.ca/prd/documents/manuals/Manual013.pdf" target="_blank"&gt;Manual 013: Compliance and Enforcement Program&lt;/a&gt;; [and]&lt;li&gt;[format] the manual to meet [AER's] current publication standards".&lt;ul&gt;&lt;/ul&gt; The first effective date of the document that makes the change is August 16, 2022. More information about the change, including any additional effective dates, is available &lt;a href="https://nimonikapp.com/legislations/366651" target="_blank"&gt;here&lt;/a&gt;.</t>
  </si>
  <si>
    <t>CA-AB-AERbulletin2022-26</t>
  </si>
  <si>
    <t>Bulletin 2022-26: New Edition of Manual 001: Facility and Well Site Inspections</t>
  </si>
  <si>
    <t>Prescribing Prices for Petroleum Products</t>
  </si>
  <si>
    <t>CA-NS-NSReg199/2022</t>
  </si>
  <si>
    <t>Regulation respecting charges to promote the treatment and reclamation of excavated contaminated soils</t>
  </si>
  <si>
    <t>CA-QC-OC1459-2022</t>
  </si>
  <si>
    <t>CA-QC-OC1461-2022(1)</t>
  </si>
  <si>
    <t>Regulation to amend the Regulation respecting activities in wetlands, bodies of water and sensitive areas</t>
  </si>
  <si>
    <t>Regulation respecting the environmental impact assessment and review of certain projects</t>
  </si>
  <si>
    <t>CQLRcQ-2,r23.1</t>
  </si>
  <si>
    <t>Provisions of an Act amending this document are coming into force on August 23, 2022. The effect of this change is to replace petroleum and exploration production projects with natural gas storage projects in the list of projects subject to the environmental impact assessment and review process. More information about the change, including any additional effective dates, is available &lt;a href="https://www2.publicationsduquebec.gouv.qc.ca/dynamicSearch/telecharge.php?type=1&amp;file=105873.pdf" target="_blank"&gt;here&lt;/a&gt; and &lt;a href="https://canlii.ca/t/bg2x" target="_blank"&gt;here&lt;/a&gt;.</t>
  </si>
  <si>
    <t>CA-QC-OC1461-2022(4)</t>
  </si>
  <si>
    <t>Regulation to amend the Regulation respecting the environmental impact assessment and review of certain projects</t>
  </si>
  <si>
    <t>Regulation respecting a cap-and-trade system for greenhouse gas emission allowances</t>
  </si>
  <si>
    <t>RRQ,cQ-2,r46.1</t>
  </si>
  <si>
    <t>A change to this document has been announced. The changes govern the allocation without charge of greenhouse gas emission units for the period 2024-2030, including gradual reductions in the allocation of units. They also:&lt;p&gt;&lt;li&gt;establish rules governing the auctioning of units allocated without charge;&lt;li&gt;update the list of information to be provided when an emitter registers or updates their information;&lt;li&gt;simplify processes for closing and reopening emitter accounts; and&lt;li&gt;permit emitters who are no longer required to cover their emissions, under certain conditions, to cover their emissions for five years.&lt;/p&gt; The first effective date of the document that makes the change is September 1, 2022. More information about the change, including any additional effective dates, is available &lt;a href="https://www2.publicationsduquebec.gouv.qc.ca/dynamicSearch/telecharge.php?type=1&amp;file=105943.pdf" target="_blank"&gt;here&lt;/a&gt;, &lt;a href="https://nimonikapp.com/legislations/347597" target="_blank"&gt;here&lt;/a&gt;, and &lt;a href="http://www.finances.gouv.qc.ca/documents/Autres/fr/AUTFR_ImpactsEconomiques_ReductionEmissionGES.pdf" target="_blank"&gt;here (French only)&lt;/a&gt;.</t>
  </si>
  <si>
    <t>CA-QC-OC1462-2022</t>
  </si>
  <si>
    <t>Regulation to amend the Regulation respecting a cap-and-trade system for greenhouse gas emission allowances</t>
  </si>
  <si>
    <t>Passenger Automobile and Light Truck Greenhouse Gas Emission Regulations</t>
  </si>
  <si>
    <t>SOR/2010-201</t>
  </si>
  <si>
    <t>A change to this document has been announced. The effect of this change, according to the government, is to "[correct] an error in the [Regulations] in the near term to quickly allow automobile manufacturers to obtain the intended number of credits for advanced technology vehicles, such as electric vehicles; plug-in hybrid electric vehicles; fuel cell vehicles; as well as natural gas dual fuel vehicles and dedicated natural gas vehicles sold in the country". The first effective date of the document that makes the change is July 4, 2022. More information about the change, including any additional effective dates, is available &lt;a href="https://canadagazetteducanada.gc.ca/rp-pr/p1/2022/2022-07-23/html/notice-avis-eng.html#na1" target="_blank"&gt;here&lt;/a&gt;.</t>
  </si>
  <si>
    <t>CA-Vol.156,No.30(4368)</t>
  </si>
  <si>
    <t>Interim Order Modifying the Operation of the Passenger Automobile and Light Truck Greenhouse Gas Emission Regulations</t>
  </si>
  <si>
    <t>CA-QC-IN(R)2022-07-21</t>
  </si>
  <si>
    <t>Information note (Regulations) 2022-07-21</t>
  </si>
  <si>
    <t>An Act respecting the conservation and development of wildlife</t>
  </si>
  <si>
    <t>RSQ,cC-61.1</t>
  </si>
  <si>
    <t>Provisions of an Act amending this document are coming into force on August 23, 2022. The effect of this change is notably to prohibit natural gas storage activities in wildlife preserves or territories set aside for the establishment of a wildlife preserve. More information about the change, including any additional effective dates, is available &lt;a href="https://www2.publicationsduquebec.gouv.qc.ca/dynamicSearch/telecharge.php?type=1&amp;file=105873.pdf" target="_blank"&gt;here&lt;/a&gt; and &lt;a href="https://canlii.ca/t/bg2x" target="_blank"&gt;here&lt;/a&gt;.</t>
  </si>
  <si>
    <t>CA-QC-SQ2022,c19</t>
  </si>
  <si>
    <t>An Act to reinforce the governance of state-owned enterprises and to amend other legislative provisions</t>
  </si>
  <si>
    <t>CA-AB-AR153/2022</t>
  </si>
  <si>
    <t>Wildlife (2022 Hunting Season - Ministerial) Amendment Regulation</t>
  </si>
  <si>
    <t>Repeal</t>
  </si>
  <si>
    <t>Gas Utility Operator Occupation Regulation</t>
  </si>
  <si>
    <t>Alta.Reg.278/2000</t>
  </si>
  <si>
    <t>This document is being repealed by the Skilled Trades and Apprenticeship Education General Regulation (CA-AB-AR156/2022), which contains transitional provisions that may apply to activities previously governed by this document. A change to this document has been announced. The first effective date of the document that makes the change is July 20, 2022. More information about the change, including any additional effective dates, is available &lt;a href="https://www.qp.alberta.ca/1266.cfm?page=2022_156.cfm&amp;leg_type=Regs&amp;isbncln=9780779831944&amp;display=html" target="_blank"&gt;here&lt;/a&gt;.</t>
  </si>
  <si>
    <t>Repealed</t>
  </si>
  <si>
    <t>CA-AB-AR156/2022</t>
  </si>
  <si>
    <t>Skilled Trades and Apprenticeship Education General Regulation</t>
  </si>
  <si>
    <t>Gas and Oil Burner Regulation</t>
  </si>
  <si>
    <t>CA-MB-Man.Reg104/87R</t>
  </si>
  <si>
    <t>A change to this document has been announced. The effect of this change is notably to adopt by reference more recent versions of the codes applicable for gas and oil burning equipment, which are the Canadian Standards Association's Installation code for oil-burning equipment (CA-B139SERIES-19), natural gas and propane installation code (CA-B149.1:20), propane storage and handling code (CA-B149.2:20), and code for the field approval of fuel-burning appliances and equipment (CA-CSAB149.3:20). The first effective date of the document that makes the change is September 1, 2022. More information about the change, including any additional effective dates, is available &lt;a href="https://web2.gov.mb.ca/laws/regs/annual/2022/102.pdf" target="_blank"&gt;here&lt;/a&gt;.</t>
  </si>
  <si>
    <t>CA-MB-ManReg102/2022</t>
  </si>
  <si>
    <t>Gas and Oil Burner Regulation, amendment</t>
  </si>
  <si>
    <t>Revise</t>
  </si>
  <si>
    <t>Renewable Fuels Regulations</t>
  </si>
  <si>
    <t>SOR/2010-189</t>
  </si>
  <si>
    <t>This document is being replaced by the Clean Fuel Regulations (CA-SOR/2022-140). The new document retains the existing "minimum volumetric requirements (at least 5% low CI [carbon intensity] fuel content in gasoline and 2% low CI fuel content in diesel fuel and light fuel oil)" from this document. The first effective date of the document that makes the change is June 21, 2022. More information about the change, including any additional effective dates, is available &lt;a href="https://canadagazetteducanada.gc.ca/rp-pr/p2/2022/2022-07-06/html/sor-dors140-eng.html" target="_blank"&gt;here&lt;/a&gt;.</t>
  </si>
  <si>
    <t>CA-SOR/2022-140</t>
  </si>
  <si>
    <t>Clean Fuel Regulations</t>
  </si>
  <si>
    <t>CA-QC-OC1313-2022</t>
  </si>
  <si>
    <t>Act mainly to end petroleum exploration and production and the public financing of those activities (2022, chapter 10) —Coming into force of certain provisions</t>
  </si>
  <si>
    <t>Regulation respecting wildlife habitats</t>
  </si>
  <si>
    <t>RRQ,cC-61.1,r18</t>
  </si>
  <si>
    <t>Provisions of an Act amending this document are coming into force on August 23, 2022. The effect of this change is notably to:&lt;ul&lt;/ul&gt;&lt;li&gt;remove persons who conduct activities for natural gas, petroleum, brine, or underground reservoirs from the list of parties exempted from prohibitions on activities that may alter biological, physical or chemical components of an animal or fish species' habitat;&lt;li&gt;prohibit the drilling of a well to explore for natural gas or petroleum in white-tailed deer yards and in the part of the habitat of the woodland caribou, mountain ecotype, Gaspésie population, located outside the limits of the Parc national de la Gaspésie; and&lt;li&gt;clarify that boring or well-drilling activities to explore for natural gas or petroleum is not permitted.&lt;ul&gt;&lt;/ul&gt;More information about the change, including any additional effective dates, is available &lt;a href="https://www2.publicationsduquebec.gouv.qc.ca/dynamicSearch/telecharge.php?type=1&amp;file=105873.pdf" target="_blank"&gt;here&lt;/a&gt; and &lt;a href="https://canlii.ca/t/bg2x" target="_blank"&gt;here&lt;/a&gt;.</t>
  </si>
  <si>
    <t>Natural Heritage Conservation Act</t>
  </si>
  <si>
    <t>RSQ,cC-61.01</t>
  </si>
  <si>
    <t>Provisions of an Act amending this document are coming into force on August 23, 2022. The effect of this change is notably to prohibit natural gas storage activities in biodiversity reserves and marine reserves. More information about the change, including any additional effective dates, is available &lt;a href="https://www2.publicationsduquebec.gouv.qc.ca/dynamicSearch/telecharge.php?type=1&amp;file=105873.pdf" target="_blank"&gt;here&lt;/a&gt; and &lt;a href="https://canlii.ca/t/bg2x" target="_blank"&gt;here&lt;/a&gt;.</t>
  </si>
  <si>
    <t>CA-AB-AR112/2022</t>
  </si>
  <si>
    <t>CA-AB-AR117/2022</t>
  </si>
  <si>
    <t>Oil and Gas Conservation Rules Amendment Regulation</t>
  </si>
  <si>
    <t>Gas Safety Regulation</t>
  </si>
  <si>
    <t>BCReg103/2004</t>
  </si>
  <si>
    <t>A change to this document has been announced. The effect of this change is notably to:&lt;ul&gt;&lt;/ul&gt;&lt;li&gt;revise the definition of "natural gas" to include mixtures into which hydrogen has been injected;&lt;li&gt;require that, to perform an installation or alteration of a gas fitting, the class B gas fitter's certificate of qualification (1) is marked with the designation "(GP)" and (2) entitles the person to perform such work;&lt;li&gt;incorporate by reference updated versions of Canadian Standards Association (CSA) standards concerning gas and propane installation, storage, and handling;&lt;li&gt;add new requirements for installers (of natural gas and propane installations) concerning the alteration and/or disconnection of gas piping systems;&lt;li&gt;revise requirements for gas appliances installed in bedrooms and bathrooms; and&lt;li&gt;provide that the document does not apply to internal combustion engines, turbines, or prime movers that are approved under the federal Motor Vehicle Safety Act (SC1993,c16).&lt;ul&gt;&lt;/ul&gt; The first effective date of the document that makes the change is October 1, 2022. More information about the change, including any additional effective dates, is available &lt;a href="https://www.bclaws.gov.bc.ca/civix/document/id/mo/mo/m0191_2022" target="_blank"&gt;here&lt;/a&gt;.</t>
  </si>
  <si>
    <t>CA-BC-BCReg145/2022</t>
  </si>
  <si>
    <t>Gas Safety Regulation 2022-06-28 Amendments</t>
  </si>
  <si>
    <t>CA-SC2022,c10,s135</t>
  </si>
  <si>
    <t>Select Luxury Items Tax Act</t>
  </si>
  <si>
    <t>Canadian Energy Regulator Act</t>
  </si>
  <si>
    <t>CA-SC2019,c28,s10</t>
  </si>
  <si>
    <t>CA-SC2022,c9</t>
  </si>
  <si>
    <t>Anishinabek Nation Governance Agreement Act</t>
  </si>
  <si>
    <t>Canada–Newfoundland and Labrador Offshore Area Petroleum Operations Framework Regulations; Canada-Nova Scotia Offshore Area Petroleum Operations Framework Regulations</t>
  </si>
  <si>
    <t>CA-Vol.156,No.25(3378)</t>
  </si>
  <si>
    <t>Gasoline and Motive Fuel Tax Act</t>
  </si>
  <si>
    <t>CA-NB-RSNB1973,cG-3</t>
  </si>
  <si>
    <t>A change to this document has been announced. The effect of this change is notably to revise the tax rates on carbon emitting products. The first effective date of the document that makes the change is April 1, 2022. More information about the change, including any additional effective dates, is available &lt;a href="https://www2.gnb.ca/content/dam/gnb/Departments/ag-pg/PDF/ActsLois/2022/chapter-8.pdf" target="_blank"&gt;here&lt;/a&gt;.</t>
  </si>
  <si>
    <t>CA-NB-SNB2022,c8</t>
  </si>
  <si>
    <t>An Act to Amend the Gasoline and Motive Fuel Tax Act</t>
  </si>
  <si>
    <t>Boiler and Pressure Vessel Act</t>
  </si>
  <si>
    <t>RSNB2011,c122</t>
  </si>
  <si>
    <t>CA-NB-SNB2022,c21</t>
  </si>
  <si>
    <t>An Act Respecting the Appointment Process</t>
  </si>
  <si>
    <t>CA-NB-SNB2022,c28</t>
  </si>
  <si>
    <t>An Act to Amend the Executive Council Act</t>
  </si>
  <si>
    <t>Manual 005: Pipeline Inspections</t>
  </si>
  <si>
    <t>AB.Man05</t>
  </si>
  <si>
    <t>A change to this document has been announced. According to the Alberta Energy Regulator (AER), the effect of this change is to (1) add non-compliance statements ("short statement[s] that summarize what an inspector may look for"), and (2) remove the low- and high-risk ratings used by the AER. The first effective date of the document that makes the change is June 20, 2022. More information about the change, including any additional effective dates, is available &lt;a href="https://static.aer.ca/prd/documents/bulletins/Bulletin-202221.pdf" target="_blank"&gt;here&lt;/a&gt;.</t>
  </si>
  <si>
    <t>CA-AB-AERbulletin2022-21</t>
  </si>
  <si>
    <t>Bulletin 2022-21: Manual 005: Pipeline Inspections New Edition</t>
  </si>
  <si>
    <t>CA-SC2022,c5</t>
  </si>
  <si>
    <t>Economic and Fiscal Update Implementation Act, 2021</t>
  </si>
  <si>
    <t>Alberta Utilities Commission Act</t>
  </si>
  <si>
    <t>SA2007,cA-37.2</t>
  </si>
  <si>
    <t>A change to this document has been announced. The first effective date of the document that makes the change is May 31, 2022. More information about the change, including any additional effective dates, is available &lt;a href="https://www.qp.alberta.ca/Annual_Volumes.cfm?page=/Documents/AnnualVolumes/2022/ch08_2022.html" target="_blank"&gt;here&lt;/a&gt;.</t>
  </si>
  <si>
    <t>CA-AB-SA2022,c8</t>
  </si>
  <si>
    <t>Electricity Statutes (Modernizing Alberta’s Electricity Grid) Amendment Act, 2022</t>
  </si>
  <si>
    <t>CA-BC-BCReg128/2022</t>
  </si>
  <si>
    <t>Proclamation of Environmental Management Amendment Act, 2020; Waste Discharge Regulation; Contaminated Sites Regulation 2022-06-06 Amendments</t>
  </si>
  <si>
    <t>Contaminated Sites Regulation</t>
  </si>
  <si>
    <t>BC.Reg.375/96</t>
  </si>
  <si>
    <t>A change to this document has been announced. The effect of this change is notably to:&lt;ul&gt;&lt;/ul&gt;&lt;li&gt;amend the definition of "background concentration" to clarify that it means a naturally occurring concentration of a substance;&lt;li&gt;amend the definitions of "high density residential use" and "low density residential use" to provide that lands used to grow plants for human consumption or as a recreational area for children are considered low-density residential use;&lt;li&gt;provide that contaminated soil relocation agreements do not need to provide a summary of the site condition to the director on application;&lt;li&gt;prescribe additional substances for the definition of "contaminated site";&lt;li&gt;require that certain notices must include the information specified in Schedule 8 to this document ("Application for a Contaminated Soil Relocation Agreement");&lt;li&gt;require high volume site owners to register the site with the minister and have a soil management plan for the site (as set forth in this document);&lt;li&gt;revise Schedule 1 ("Site Disclosure Statement" form), Schedule 3.1 ("Generic Numerical Soil Standards to Protect Human Health"), Schedule 3.2 ("Generic Numerical Water Standards"); Schedule 3.3 ("Generic Numerical Vapour Standards"), and Schedule 3.4 ("Generic Numerical Sediment Standards") to this document; and&lt;li&gt;remove Schedule 2 to this document ("Specified Industrial or Commercial Uses" list).&lt;ul&gt;&lt;/ul&gt; The first effective date of the document that makes the change is March 1, 2023. More information about the change, including any additional effective dates, is available &lt;a href="https://www.bclaws.gov.bc.ca/civix/document/id/mo/mo/m0164_2022" target="_blank"&gt;here&lt;/a&gt;.</t>
  </si>
  <si>
    <t>CA-BC-BCReg133/2022</t>
  </si>
  <si>
    <t>Contaminated Sites Regulation 2022-06-06 Amendments</t>
  </si>
  <si>
    <t>Output-Based Pricing System Regulations</t>
  </si>
  <si>
    <t>CA-SOR/2019-266</t>
  </si>
  <si>
    <t>A change to this document has been announced. The effect of this change is to provide that proponents (persons responsible for a project that reduces atmospheric greenhouse gases) who wish to open an account in the carbon credit tracking system do not need to notify the Minister. The first effective date of the document that makes the change is May 20, 2022. More information about the change, including any additional effective dates, is available &lt;a href="https://canadagazetteducanada.gc.ca/rp-pr/p2/2022/2022-06-08/html/sor-dors111-eng.html" target="_blank"&gt;here&lt;/a&gt;.</t>
  </si>
  <si>
    <t>CA-SOR/2022-111</t>
  </si>
  <si>
    <t>Canadian Greenhouse Gas Offset Credit System Regulations</t>
  </si>
  <si>
    <t>Directive 047: Waste Reporting Requirements for Oilfield Waste Management Facilities</t>
  </si>
  <si>
    <t>CA-AB-Dir.047</t>
  </si>
  <si>
    <t>A change to this document has been announced. According to the Alberta Energy Regulator, the effect of this change is notably to "bring it in line with recent updates to Directive 058: Oilfield Waste Management Requirements for the Upstream Petroleum Industry", details of which can be found &lt;a href="https://static.aer.ca/prd/documents/directives/Directive058.pdf" target="_blank"&gt;here&lt;/a&gt; and &lt;a href="https://static.aer.ca/prd/documents/bulletins/Bulletin-202207.pdf" target="_blank"&gt;here&lt;/a&gt;. The first effective date of the document that makes the change is June 1, 2022.</t>
  </si>
  <si>
    <t>CA-AB-Dir.047(2022-06-01)</t>
  </si>
  <si>
    <t>Directive 047: Waste Reporting Requirements for Oilfield Waste Management Facilities 2022-06-01 Amendments</t>
  </si>
  <si>
    <t>Canada Oil and Gas Operations Act</t>
  </si>
  <si>
    <t>RSC1985,cO-7</t>
  </si>
  <si>
    <t>A change to this document has been announced. According to the Government of Canada, this change is part of a suite of amendments that update references to the relevant provisions of the soon-to-be repealed Migratory Birds Regulations (CRC,c1035) with the Migratory Birds Regulations, 2022 (CA-SOR/2022-105). The first effective date of the document that makes the change is July 30, 2022. More information about the change, including any additional effective dates, is available &lt;a href="https://canadagazetteducanada.gc.ca/rp-pr/p2/2022/2022-06-08/html/sor-dors108-eng.html" target="_blank"&gt;here&lt;/a&gt;.</t>
  </si>
  <si>
    <t>CA-SOR/2022-108</t>
  </si>
  <si>
    <t>Order Amending Schedule 2 to the Canada Oil and Gas Operations Act</t>
  </si>
  <si>
    <t>Canada-Nova Scotia Offshore Petroleum Resources Accord Implementation Act</t>
  </si>
  <si>
    <t>CA-SC1988,c28</t>
  </si>
  <si>
    <t>A change to this document has been announced. According to the Government of Canada, this change is part of a suite of amendments that update references to the relevant provisions of the soon-to-be repealed Migratory Birds Regulations (CRC,c1035) with the Migratory Birds Regulations, 2022 (CA-SOR/2022-105). The first effective date of the document that makes the change is July 30, 2022. More information about the change, including any additional effective dates, is available &lt;a href="https://canadagazetteducanada.gc.ca/rp-pr/p2/2022/2022-06-08/html/sor-dors107-eng.html" target="_blank"&gt;here&lt;/a&gt;.</t>
  </si>
  <si>
    <t>CA-SOR/2022-107</t>
  </si>
  <si>
    <t>Order Amending Schedule VI to the Canada-Nova Scotia Offshore Petroleum Resources Accord Implementation Act</t>
  </si>
  <si>
    <t>Canada–Newfoundland and Labrador Atlantic Accord Implementation Act</t>
  </si>
  <si>
    <t>SC1987,c3</t>
  </si>
  <si>
    <t>A change to this document has been announced. According to the Government of Canada, this change is part of a suite of amendments that update references to the relevant provisions of the soon-to-be repealed Migratory Birds Regulations (CRC,c1035) with the Migratory Birds Regulations, 2022 (CA-SOR/2022-105). The first effective date of the document that makes the change is July 30, 2022. More information about the change, including any additional effective dates, is available &lt;a href="https://canadagazetteducanada.gc.ca/rp-pr/p2/2022/2022-06-08/html/sor-dors106-eng.html" target="_blank"&gt;here&lt;/a&gt;.</t>
  </si>
  <si>
    <t>CA-SOR/2022-106</t>
  </si>
  <si>
    <t>Order Amending Schedule 2 to the Canada–Newfoundland and Labrador Atlantic Accord Implementation Act</t>
  </si>
  <si>
    <t>Greenhouse Gas Reduction (Renewable and Low Carbon Fuel Requirements) Act</t>
  </si>
  <si>
    <t>SBC2008,c16</t>
  </si>
  <si>
    <t>This document is being replaced by the Low Carbon Fuels Act (CA-BC-SBC2022,c21). The first effective date of the document that makes the change has not yet been announced. More information about the change, including any additional effective dates, is available &lt;a href="https://www.leg.bc.ca/parliamentary-business/legislation-debates-proceedings/42nd-parliament/3rd-session/bills/third-reading/gov15-3" target="_blank"&gt;here&lt;/a&gt; and &lt;a href="https://nimonikapp.com/legislations/349252" target="_blank"&gt;here&lt;/a&gt;.</t>
  </si>
  <si>
    <t>CA-BC-SBC2022,c21</t>
  </si>
  <si>
    <t>Low Carbon Fuels Act</t>
  </si>
  <si>
    <t>CA-BC-SBC2022,c13</t>
  </si>
  <si>
    <t>Wildlife Amendment Act, 2022</t>
  </si>
  <si>
    <t>CA-BC-SBC2022,c19</t>
  </si>
  <si>
    <t>Professional Governance Amendment Act, 2022</t>
  </si>
  <si>
    <t>Directive 085: Fluids Management for Oil Sands Mining Projects</t>
  </si>
  <si>
    <t>AB.Dir085</t>
  </si>
  <si>
    <t>CA-AB.Dir085(2022-05-19)</t>
  </si>
  <si>
    <t>Directive 085: Fluids Management for Oil Sands Mining Projects 2022-05-19 Amendments</t>
  </si>
  <si>
    <t>Government of Alberta Standards for Zoos in Alberta</t>
  </si>
  <si>
    <t>GASZA-AB</t>
  </si>
  <si>
    <t>&lt;p&gt;This document is being replaced with the Standards for Zoos in Alberta (CA-AB-SZA). According to its content, it notably covers the same scope as the superseded document regarding the basic requirements that all zoos in Alberta should meet, with only minor adjustments to the superseded document (GASZA-AB), such as&lt;/p&gt;&lt;ul&gt;&lt;li&gt;the requirement to obtain an import and/or export permit from the "Fish and Wildlife Stewardship of AEP [the Department of Environment and Parks]" instead of the "Fish and Wildlife Division of SRD [the Department of Environment and Sustainable Resource Development]";&lt;li&gt;the replacement of the ''Animal Exhibit Standards" with the "Animal Habitat Standards" to include "all the enclosures, shelters, buildings and any other structures that constitute the ‘home in the zoo’ for a particular species or multi-species assemblage"; and&lt;li&gt;the strengthening of the obligations of zoo operators to ensure that staff members "have formally documented experience in animal care for the species assigned to them" rather than merely "knowledge and experience in animal care".&lt;/ul&gt;&lt;p&gt;The first effective date of the document that makes the change is March 22, 2022. More information about the change, including any additional effective dates, is available &lt;a href="https://open.alberta.ca/dataset/fa7f4e97-32e4-4a38-9391-e2f54757b325/resource/7c576e36-90bd-42fe-818c-70b9f782f574/download/aep-standards-for-zoos-in-alberta-2022.pdf" target="_blank"&gt;here&lt;/a&gt;.&lt;/p&gt;</t>
  </si>
  <si>
    <t>CA-AB-SZA</t>
  </si>
  <si>
    <t>Standards for Zoos in Alberta</t>
  </si>
  <si>
    <t>Gas Code Regulation</t>
  </si>
  <si>
    <t>Alta.Reg.111/2010</t>
  </si>
  <si>
    <t>A change to this document has been announced. The effect of this change is to incorporate by reference updated versions of CSA Standards concerning fuel handling and the updated National Building Code - 2019 Alberta Edition. The first effective date of the document that makes the change is September 1, 2022. More information about the change, including any additional effective dates, is available &lt;a href="https://www.qp.alberta.ca/documents/gazette/2022/pdf/10_May31_Part2.pdf" target="_blank"&gt;here&lt;/a&gt; on page 240 of the Gazette (page 2 of this PDF).</t>
  </si>
  <si>
    <t>CA-AB-AR65/2022</t>
  </si>
  <si>
    <t>Gas Code Amendment Regulation</t>
  </si>
  <si>
    <t>CA-AB-AR69/2022</t>
  </si>
  <si>
    <t>Security Management for Critical Upstream Petroleum and Coal Infrastructure (Expiry Date Extension) Amendment Regulation</t>
  </si>
  <si>
    <t>CA-AB-AERbulletin2022-19</t>
  </si>
  <si>
    <t>Bulletin 2022-19: Directive 050 Correction</t>
  </si>
  <si>
    <t>The Crown Resource Land Regulations, 2019</t>
  </si>
  <si>
    <t>CA-SK-RRScP-31.1Reg3</t>
  </si>
  <si>
    <t>A change to this document has been announced. The effect of this change is notably to update the applicable fees for resource land dispositions other than peat or petroleum and natural gas dispositions, and for petroleum and natural gas dispositions. The first effective date of the document that makes the change is March 31, 2022. More information about the change, including any additional effective dates, is available &lt;a href="https://publications.saskatchewan.ca/api/v1/products/117548/formats/135004/download" target="_blank"&gt;here&lt;/a&gt;.</t>
  </si>
  <si>
    <t>CA-SK-Vol.118,No.20(295)</t>
  </si>
  <si>
    <t>Errata Notice for The Crown Resource Land (Fees) Amendment Regulations, 2022</t>
  </si>
  <si>
    <t>Petroleum Resources Act</t>
  </si>
  <si>
    <t>CA-QC-CQLRcH-4.2</t>
  </si>
  <si>
    <t>A change to this document has been announced. According to the government, the effect of this change is notably to "limit [the document's] scope to natural gas storage and natural gas and oil pipelines" to conform with the Act ending exploration for petroleum and underground reservoirs and production of petroleum and brine (CA-QC-SQ2022,c10,s1). It revises various definitions and removes provisions regulating exploration and production of petroleum and brine to this end. The first effective date of the document that makes the change has not yet been announced. More information about the change, including any additional effective dates, is available &lt;a href="http://www2.publicationsduquebec.gouv.qc.ca/dynamicSearch/telecharge.php?type=5&amp;file=2022C10A.PDF" target="_blank"&gt;here&lt;/a&gt;.</t>
  </si>
  <si>
    <t>CA-QC-SQ2022,c8</t>
  </si>
  <si>
    <t>An Act mainly to reinforce the enforcement of environmental and dam safety legislation, to ensure the responsible management of pesticides and to implement certain measures of the 2030 Plan for a Green Economy concerning zero emission vehicles</t>
  </si>
  <si>
    <t>P.E.I</t>
  </si>
  <si>
    <t>Oil and Natural Gas Act</t>
  </si>
  <si>
    <t>CA-PE-RSPEI1988,cO-5</t>
  </si>
  <si>
    <t>CA-PE-SPEI2022,c62</t>
  </si>
  <si>
    <t>Miscellaneous Statutes Amendment Act, 2022</t>
  </si>
  <si>
    <t>Guideline for Quantification, Reporting and Verification of Greenhouse Gas Emissions - February 2020</t>
  </si>
  <si>
    <t>CA-ON-Guide-QRVGHG(2020)</t>
  </si>
  <si>
    <t>A new version of this document has been announced. The effect of the change is to align the guidelines for quantifying and reporting greenhouse gas for a given year with the more recent version of the Greenhouse Gas Emissions: Quantification, Reporting and Verification (CA-ON-OReg390/18). The first effective date of the document that makes the change is October 21, 2021. More information about the change, including any additional effective dates, is available &lt;a href="https://prod-environmental-registry.s3.amazonaws.com/2021-10/Guideline%20for%20QRV%20of%20GHG%20Emissions%20October%202021%20%28EN%29.pdf" target="_blank"&gt;here&lt;/a&gt;.</t>
  </si>
  <si>
    <t>CA-ON-Guide-QRVGHG(2021)</t>
  </si>
  <si>
    <t>Guideline for Quantification, Reporting and Verification of Greenhouse Gas Emissions - 2021</t>
  </si>
  <si>
    <t>Act ending exploration for petroleum and underground reservoirs and production of petroleum and brine</t>
  </si>
  <si>
    <t>CA-QC-CQLRcR-1.01</t>
  </si>
  <si>
    <t>Water Withdrawal and Protection Regulation</t>
  </si>
  <si>
    <t>CQLRcQ-2,r35.2</t>
  </si>
  <si>
    <t>A change to this document has been announced. The effect of this change is notably to make various amendments to conform with the Act ending exploration for petroleum and underground reservoirs and production of petroleum and brine (CA-QC-SQ2022,c10,s1) which prohibits the exploration and production of petroleum and brine in the province. It revises the definition of "drilling site" to exclude zones used to explore for or produce petroleum, natural gas or brine and removes provisions governing the exploration and production of petroleum and brine, including fracturing operations. The first effective date of the document that makes the change has not yet been announced. More information about the change, including any additional effective dates, is available &lt;a href="http://www2.publicationsduquebec.gouv.qc.ca/dynamicSearch/telecharge.php?type=5&amp;file=2022C10A.PDF" target="_blank"&gt;here&lt;/a&gt;.</t>
  </si>
  <si>
    <t>CA-QC-SQ2022,c10</t>
  </si>
  <si>
    <t>An Act mainly to end petroleum exploration and production and the public financing of those activities</t>
  </si>
  <si>
    <t>An Act respecting the Land regime in the James Bay and New Québec territories</t>
  </si>
  <si>
    <t>RSQ,cR-13.1</t>
  </si>
  <si>
    <t>A change to this document has been announced. The effect of this change is notably to remove petroleum rights holders from the list of persons authorized to access Category I (lands reserved exclusively for the use of Inuit and Cree beneficiaries) and Category II-N lands (lands reserved exclusively for the use of Naskapi beneficiaries). The first effective date of the document that makes the change has not yet been announced. More information about the change, including any additional effective dates, is available &lt;a href="http://www2.publicationsduquebec.gouv.qc.ca/dynamicSearch/telecharge.php?type=5&amp;file=2022C10A.PDF" target="_blank"&gt;here&lt;/a&gt;.</t>
  </si>
  <si>
    <t>Directive 030: Digital Data Submission of the Annual Oilfield Waste Disposition Report</t>
  </si>
  <si>
    <t>AB.Dir030</t>
  </si>
  <si>
    <t>A new edition of this Directive has been announced. According to the Alberta Energy Regulator, the effect of the change is to update formatting standards, remove irrelevant information, and update references.The first effective date of the document that makes the change is May 10, 2022. More information about the change, including any additional effective dates, is available &lt;a href="https://static.aer.ca/prd/documents/directives/Directive030.pdf" target="_blank"&gt;here&lt;/a&gt;.</t>
  </si>
  <si>
    <t>AB.Dir030(2022-05-10)</t>
  </si>
  <si>
    <t>Directive 030: Digital Data Submission of the Annual Oilfield Waste Disposition Report 2022-05-10 Amendments</t>
  </si>
  <si>
    <t>Interim Order Modifying the Operation of the Heavy-duty Vehicle and Engine Greenhouse Gas Emission Regulations (Trailer Standards)</t>
  </si>
  <si>
    <t>CA-Vol.155,No.22(2300)</t>
  </si>
  <si>
    <t>CA-Vol.156,No.20(2275)</t>
  </si>
  <si>
    <t>Bill 15 - Low Carbon Fuels Act</t>
  </si>
  <si>
    <t>CA-BC-Bill15(42-3)</t>
  </si>
  <si>
    <t>Archived</t>
  </si>
  <si>
    <t>Charges to promote the treatment and reclamation of excavated contaminated soils</t>
  </si>
  <si>
    <t>CA-QC-Vol.154,No.19(1339)</t>
  </si>
  <si>
    <t>Oil and Gas Occupational Safety and Health Regulations</t>
  </si>
  <si>
    <t>SOR/87-612</t>
  </si>
  <si>
    <t>A change to this document has been announced. This change is part of a suite of amendments to occupational health &amp; safety regulations that notably (1) "allow CSA Group certified [respiratory protective] equipment to be provided as an alternative to NIOSH certified equipement in federally regulated workplaces, where there is a risk of injury or disease due to exposure to an airborne hazardous substance and the equipment does not provide air" and (2) incorporate by reference certain respiratory protection provisions and naming conventions from relevant CSA Standards. The first effective date of the document that makes the change is May 2, 2022. More information about the change, including any additional effective dates, is available &lt;a href="https://canadagazetteducanada.gc.ca/rp-pr/p2/2022/2022-05-11/html/sor-dors94-eng.html" target="_blank"&gt;here&lt;/a&gt;.</t>
  </si>
  <si>
    <t>CA-SOR/2022-94</t>
  </si>
  <si>
    <t>Regulations Amending Certain Regulations Made Under the Canada Labour Code (Respiratory Protective Equipment)</t>
  </si>
  <si>
    <t>Joint Notice Extending the Prohibition Period for Certain Activities on Georges Bank</t>
  </si>
  <si>
    <t>CA-NS-NSReg77/2022</t>
  </si>
  <si>
    <t>Cap-and-trade system for greenhouse gas emission allowances—Amendment</t>
  </si>
  <si>
    <t>CA-QC-Vol.154,No.18(1244)</t>
  </si>
  <si>
    <t>CA-AB-AR57/2022</t>
  </si>
  <si>
    <t>CA-AB-AERbulletin2022-14</t>
  </si>
  <si>
    <t>Bulletin 2022-14: New Edition of Directive 020</t>
  </si>
  <si>
    <t>CA-SOR/2022-82</t>
  </si>
  <si>
    <t>Oil and Gas - Offshore</t>
  </si>
  <si>
    <t>O.Reg.855</t>
  </si>
  <si>
    <t>A change to this document has been announced. The effect of this change is notably to remove the provisions that set out the required contents of a written report relating to certain accidents and the time that records related to certain accidents be kept. The first effective date of the document that makes the change is July 1, 2021. More information about the change, including any additional effective dates, is available &lt;a href="https://www.ontario.ca/laws/regulation/r21423" target="_blank"&gt;here&lt;/a&gt;.</t>
  </si>
  <si>
    <t>CA-ON-OReg372/22</t>
  </si>
  <si>
    <t>Amending Reg. 855 of R.R.O. 1990 (Oil and Gas - Offshore)</t>
  </si>
  <si>
    <t>On-Site and Excess Soil Management</t>
  </si>
  <si>
    <t>CA-ON-OReg406/19</t>
  </si>
  <si>
    <t>A change to this document has been announced. The effect of this change is notably to (1) postpone the implementation of certain provisions concerning excess soil management and relevant reporting requirements that came into effect on January 1, 2022 until January 1, 2023, and (2) provide for the temporary suspension of certain requirements for filing notices in the Resource Productivity and Recovery Registry. Additional postponed provisions include requirements associated with the completion of an assessment of past uses, and the completion of a sampling and analysis plan and soil characterization report. The first effective date of the document that makes the change is April 20, 2022. More information about the change, including any additional effective dates, is available &lt;a href="https://www.ontario.ca/laws/regulation/r22388" target="_blank"&gt;here&lt;/a&gt; and &lt;a href="https://nimonikapp.com/legislations/338769" target="_blank"&gt;here&lt;/a&gt;.</t>
  </si>
  <si>
    <t>CA-ON-OReg388/22</t>
  </si>
  <si>
    <t>Amending O. Reg. 406/19 (On-Site and Excess Soil Management)</t>
  </si>
  <si>
    <t>General, under Aggregate Resources Act</t>
  </si>
  <si>
    <t>O.Reg.244/97</t>
  </si>
  <si>
    <t>A change to this document has been announced. The effect of this change is notably to (1) introduce rules concerning the deposit of excess soil at pit or quarry sites and the associated responsibilities for licensees and aggregate permit holders, and (2) permit licensees and aggregate permit holders to amend a site plan to remove a provision relating to the importation or use of material imported for rehabilitation purposes without the approval of the Minister under certain conditions. The first effective date of the document that makes the change is April 20, 2022. More information about the change, including any additional effective dates, is available &lt;a href="https://www.ontario.ca/laws/regulation/r22395" target="_blank"&gt;here&lt;/a&gt;.</t>
  </si>
  <si>
    <t>CA-ON-OReg395/22</t>
  </si>
  <si>
    <t>Amending O. Reg. 244/97 (General)</t>
  </si>
  <si>
    <t>Regulation respecting medical aid</t>
  </si>
  <si>
    <t>RRQ,cA-3.001,r1</t>
  </si>
  <si>
    <t>A change to this document has been announced. The first effective date of the document that makes the change is May 12, 2022. More information about the change, including any additional effective dates, is available &lt;a href="http://www2.publicationsduquebec.gouv.qc.ca/dynamicSearch/telecharge.php?type=1&amp;file=105688.pdf" target="_blank"&gt;here&lt;/a&gt;.</t>
  </si>
  <si>
    <t>CA-QC-OC703-2022</t>
  </si>
  <si>
    <t>Regulation to amend the Regulation respecting medical aid</t>
  </si>
  <si>
    <t>National Fire Code of Canada 2015</t>
  </si>
  <si>
    <t>NRCC-NFC-2015</t>
  </si>
  <si>
    <t>A change to this document has been announced. According to the National Research Council of Canada, the effect of this change is notably to (1) provide technical requirements for large farm buildings, "which address the inspection of mechanical equipment and electrical systems, the control of flammable gases and vapours, and the storage of flammable or combustible liquids", (2) consolidate fire safety plan requirements to facilitate compliance and enforcement, (3) establish classifications for "5 widely used water-miscible liquid mixtures to ensure that appropriate fire safety measures are applied in their storage, handling, use and processing", and (4) provide measures "to address fire safety during the construction of encapsulated mass timber buildings". More information about the change, including any additional effective dates, is available &lt;a href="https://nrc-publications.canada.ca/eng/view/ft/?id=d77ca42c-caef-4769-930e-2eb618111c8e" target="_blank"&gt;here&lt;/a&gt;.</t>
  </si>
  <si>
    <t>CA-NRCC-NFC-2020</t>
  </si>
  <si>
    <t>National Fire Code of Canada 2020</t>
  </si>
  <si>
    <t>Northwest Territories</t>
  </si>
  <si>
    <t>Boilers and Pressure Vessels Act</t>
  </si>
  <si>
    <t>RSNWT1988,cB-2</t>
  </si>
  <si>
    <t>CA-NT-SNWT2022,c4</t>
  </si>
  <si>
    <t>Miscellaneous Statute Law Amendment Act, 2021</t>
  </si>
  <si>
    <t>CA-AB-AR45/2022</t>
  </si>
  <si>
    <t>Directive 060: Upstream Petroleum Industry Flaring, Incinerating, and Venting</t>
  </si>
  <si>
    <t>AB.Dir060</t>
  </si>
  <si>
    <t>A change to this document has been announced. The effect of this change is notably to replace references to IL 98-01 with notification to the appropriate AER field centre. The first effective date of the document that makes the change is April 6, 2022. No official notification of the change is readily available from the governmental or other authority that announced the change.</t>
  </si>
  <si>
    <t>CA-AB.Dir060(2022-04-06)</t>
  </si>
  <si>
    <t>Directive 060: Upstream Petroleum Industry Flaring, Incinerating, and Venting 2022-04-06 Amendments</t>
  </si>
  <si>
    <t>Greenhouse Gas Emission Reporting Regulation</t>
  </si>
  <si>
    <t>BC.Reg.249/2015</t>
  </si>
  <si>
    <t>A change to this document has been announced. The effect of this change is notably to (1) revise the equations used for calculating emissions to be reported for specified and unspecified sources, (2) clarify that an electricity import operator must include the specified and unspecified sources of electricity exported in their emission report, (3) require operators of electricity import operations to quantify emissions attributable to specified and unspecified imports and exports using a certain formula, (4) provide that greenhouse gas emissions from public sector organizations that are specified in the Climate Change Accountability Act (SBC2007,c42) do not need to be accounted for, and (5) clarify that devices for measuring certain greenhouse gases may evaluate the bleed study or the low emission study in cubic meters per hour. The first effective date of the document that makes the change is February 22, 2022. More information about the change, including any additional effective dates, is available &lt;a href="https://www.bclaws.gov.bc.ca/civix/document/id/oic/oic_cur/0087_2022" target="_blank"&gt;here&lt;/a&gt;.</t>
  </si>
  <si>
    <t>CA-BC-BCReg76/2022</t>
  </si>
  <si>
    <t>Administrative Penalties (Integrated Pest Management Act) Regulation; Commercial Transport Regulations [...] 2022-03-30 Amendments</t>
  </si>
  <si>
    <t>Automotive Gasoline</t>
  </si>
  <si>
    <t>CAN/CGSB-3.5-2016</t>
  </si>
  <si>
    <t>A new version of this document is available. The changes to the 2021 edition include (1) the addition of ASTM standards as alternative methods for oxidation stability and the determination of aliphatic ethers, methanol, alcohols, and benzene, (2) revised conditions for calculating certain properties of fuel, and (3) the codification of certain elements of ASTM standards' equations for calculating certain properties of fuel. The first effective date of the document that makes the change is October 1, 2021. More information about the change, including any additional effective dates, is available &lt;a href="https://publications.gc.ca/collections/collection_2021/ongc-cgsb/P29-003-005-2021-eng.pdf" target="_blank"&gt;here&lt;/a&gt;.</t>
  </si>
  <si>
    <t>CA-CAN/CGSB-3.5-2021</t>
  </si>
  <si>
    <t>Automotive gasoline</t>
  </si>
  <si>
    <t>Oxygenated automotive gasoline containing ethanol (E1-E10 and E11-E15)</t>
  </si>
  <si>
    <t>CAN/CGSB-3.511-2016</t>
  </si>
  <si>
    <t>A new version of this document is available. Changes to the 2021 version include (1) the addition of ASTM standards as alternative methods for oxidation stability and the determination of oxygen content, ethanol, methanol and benzene, and (2) an indication of the required use of certain ASTM standards' equations for calculating certain properties of fuel. The first effective date of the document that makes the change is October 1, 2021. More information about the change, including any additional effective dates, is available &lt;a href="https://publications.gc.ca/collections/collection_2021/ongc-cgsb/P29-003-511-2021-eng.pdf" target="_blank"&gt;here&lt;/a&gt;.</t>
  </si>
  <si>
    <t>CA-CAN/CGSB-3.511-2021</t>
  </si>
  <si>
    <t>CA-SK-SR21/2022</t>
  </si>
  <si>
    <t>The Crown Resource Land (Fees) Amendment Regulations, 2022</t>
  </si>
  <si>
    <t>Interim Directive ID 2000-04 - An Update to the Requirements for the Appropriate Management of Oilfield Wastes</t>
  </si>
  <si>
    <t>CA-AB-Dir.2000-04</t>
  </si>
  <si>
    <t>The repeal of this document has been announced. The first effective date of the document that makes the change is March 28, 2022. More information about the rescission, including any additional effective dates, is available &lt;a href="https://static.aer.ca/prd/documents/bulletins/Bulletin-202207.pdf" target="_blank"&gt;here&lt;/a&gt;.</t>
  </si>
  <si>
    <t>CA-AB-AERbulletin2022-07</t>
  </si>
  <si>
    <t>Bulletin 2022-07: New Editions of Directives 055 and 058 and Rescinded Documents</t>
  </si>
  <si>
    <t>Interim Directive ID 99-04 - Deposition of Oilfield Waste Into Landfills</t>
  </si>
  <si>
    <t>CA-AB-Dir.99-04</t>
  </si>
  <si>
    <t>CA-AB-AERbulletin2022-06</t>
  </si>
  <si>
    <t>Bulletin 2022-06: New Edition of Directive 050</t>
  </si>
  <si>
    <t>M424.2-16 (R2021) - Non-rail-bound diesel-powered machines for use in non-gassy underground mines</t>
  </si>
  <si>
    <t>M424.2-16</t>
  </si>
  <si>
    <t>A new edition of this document has been announced. According to its content, the effect of this change is notably to (1) expand the standard to "include larger and more varied types of diesel-powered machines", (2) transfer non-engine related general machine safety requirements to CSA M424.0, Underground mining mobile equipment — General requirements, (3) lower the engine emissions testing pass/fail criteria to reflect modern technologies, (4) remove the Exhaust Air Quality Index (EQI) concept for ventilation rate determination, (5) enable ventilation rate determination for retrofit emission control devices, and (6) update or renumber various clauses to comply with current administrative requirements. The first effective date of the document that makes the change is March 1, 2022. The latest version of the text is available &lt;a href="https://www.csagroup.org/store/product/2700675/" target="_blank"&gt;here&lt;/a&gt; to those with permission to access the content.</t>
  </si>
  <si>
    <t>CA-CSA-M424.2:22</t>
  </si>
  <si>
    <t>CSA M424.2:22 - Diesel-powered machines for use in non-gassy underground mines</t>
  </si>
  <si>
    <t>Fuel Safety Regulations</t>
  </si>
  <si>
    <t>NS.Reg.11/2011</t>
  </si>
  <si>
    <t>A change to this document has been announced. The effect of this change is notably to (1) revise the definition of "apprentice" to include a person "registered as an apprentice in another jurisdiction in Canada who is temporarily obtaining apprenticeship training including work experience in the Province and is recognized by the Nova Scotia Apprenticeship Agency" for the gasfitter trade and oil heat system technician trade, (2) revise the definition of “apprenticeship identification card” to include identification issued to an individual by another jurisdiction in Canada in which they are registered as an apprentice, and (3) modify the passing grade for a gas operator certificate examination to 70%. The first effective date of the document that makes the change is March 15, 2022. More information about the change, including any additional effective dates, is available &lt;a href="https://novascotia.ca/just/regulations/rg2/2022/RG2-2022-03-25.pdf" target="_blank"&gt;here&lt;/a&gt;.</t>
  </si>
  <si>
    <t>CA-NS-NSReg41/2022</t>
  </si>
  <si>
    <t>Fuel Safety Regulations–amendment</t>
  </si>
  <si>
    <t>Canada Transportation Act</t>
  </si>
  <si>
    <t>SC1996,c10</t>
  </si>
  <si>
    <t>A change to this document has been announced. The effect of the change is to readjust the levy on shipments of crude oil by rail for the year, commencing on April 1, 2022. More information about the change, including any additional effective dates, is available &lt;a href="https://canadagazetteducanada.gc.ca/rp-pr/p1/2022/2022-03-26/html/notice-avis-eng.html#nc1" target="_blank"&gt;here&lt;/a&gt;.</t>
  </si>
  <si>
    <t>CA-Vol.156,No.13(1386)</t>
  </si>
  <si>
    <t>Levy on shipments of crude oil by rail</t>
  </si>
  <si>
    <t>Mineral Regulations</t>
  </si>
  <si>
    <t>CNLR.1143/96</t>
  </si>
  <si>
    <t>A change to this document has been announced. The effect of this change is notably to exempt the lands in the general areas of Beaver Brook, Glover Island, and Grey River, as defined herein, from this Regulation. The first effective date of the document that makes the change is March 25, 2022. More information about the change, including any additional effective dates, is available &lt;a href="https://www.assembly.nl.ca/legislation/sr/annualregs/2022/nr220012.htm" target="_blank"&gt;here&lt;/a&gt;.</t>
  </si>
  <si>
    <t>CA-NL-NLR12/22</t>
  </si>
  <si>
    <t>Mineral Regulations (Amendment)</t>
  </si>
  <si>
    <t>Gasoline Volatility Control Regulations, 2003</t>
  </si>
  <si>
    <t>NLR.62/03</t>
  </si>
  <si>
    <t>This document is being repealed. The first effective date of the document that makes the change is March 25, 2022. More information about the change, including any additional effective dates, is available &lt;a href="https://www.assembly.nl.ca/legislation/sr/annualregs/2022/nr220011.htm" target="_blank"&gt;here&lt;/a&gt;.</t>
  </si>
  <si>
    <t>CA-NL-NLR11/22</t>
  </si>
  <si>
    <t>Air Pollution Control Regulations, 2022</t>
  </si>
  <si>
    <t>Used Oil and Used Glycol Control Regulations</t>
  </si>
  <si>
    <t>CA-NL-NLR100/18</t>
  </si>
  <si>
    <t>B376-M1980 (R2019) - Portable Containers for Gasoline and Other Petroleum Fuels</t>
  </si>
  <si>
    <t>B376-M1980</t>
  </si>
  <si>
    <t>A new edition of this document has been announced. According to its content, the effect of this change is notably to (1) broaden the scope of the standard "to include all types of containers intended for use by consumers in the transportation and storage of flammable and combustible fluids", (2) modify the standard in accordance with updated environmental and safety considerations on portable fuel container system designs; and (3) update "test fuel specifications, material property verification and safety marking practices" to harmonize with international norms. The first effective date of the document that makes the change is February 1, 2022. The latest version of the text is available &lt;a href="https://www.csagroup.org/store/product/CSA%20B376%3A22/" target="_blank"&gt;here&lt;/a&gt; to those with permission to access the content.</t>
  </si>
  <si>
    <t>CA-B376:22</t>
  </si>
  <si>
    <t>CSA B376:22 - Portable containers for gasoline and other petroleum fuels</t>
  </si>
  <si>
    <t>Directive 017: Measurement  Requirements for Oil and Gas  Operations</t>
  </si>
  <si>
    <t>AB.Dir017</t>
  </si>
  <si>
    <t>A change to this document has been announced. The effect of this change is notably to (1) modify the requirements for well testing in thermal in situ oil sands operations by implementing a program for testing each operating production well to optimize test durations and to ensure that one well is in the test cycle at all times and (2) remove the requirement to have one valid testing hour for every forty hours of operation. The first effective date of the document that makes the change is March 17, 2022. More information about the change, including any additional effective dates, is available &lt;a href="https://static.aer.ca/prd/documents/bulletins/Bulletin-202205.pdf" target="_blank"&gt;here&lt;/a&gt;.</t>
  </si>
  <si>
    <t>CA-AB-AERbulletin2022-05</t>
  </si>
  <si>
    <t>Bulletin 2022-05: New Edition of Directive 017</t>
  </si>
  <si>
    <t>Nova Scotia Standards for Construction and Installation for Petroleum Storage Tank Systems</t>
  </si>
  <si>
    <t>CIPSTS-NS</t>
  </si>
  <si>
    <t>This document is being replaced by the Nova Scotia Construction, Installation and Operation Standards for Petroleum Storage Tank Systems (CA-NS-NSCIOSPSTS-2021). Subsequent to that announcement, no customers were tracking changes to this document. As a result, no analysis of the change is available in the language that you have selected. More information about the change is available &lt;a href="https://novascotia.ca/nse/dept/docs.policy/petroleum.storage.tank.systems-2021.pdf" target="_blank"&gt;here&lt;/a&gt;.</t>
  </si>
  <si>
    <t>CA-NS-CIOSPSTS-2021</t>
  </si>
  <si>
    <t>Nova Scotia Construction, Installation and Operation Standards for Petroleum Storage Tank Systems</t>
  </si>
  <si>
    <t>Implementation Pause of Excess Soil Requirements in Effect January 1, 2022</t>
  </si>
  <si>
    <t>CA-ON-ERO-019-5203</t>
  </si>
  <si>
    <t>Specified Enactments (Jurisdiction) Regulation</t>
  </si>
  <si>
    <t>Alta.Reg.201/2013</t>
  </si>
  <si>
    <t>CA-AB-AR17/2022</t>
  </si>
  <si>
    <t>Specified Enactments (Jurisdiction) Amendment Regulation</t>
  </si>
  <si>
    <t>Regulation respecting petroleum exploration, production and storage in a body of water</t>
  </si>
  <si>
    <t>CA-QC-CQLRcH-4.2,r1</t>
  </si>
  <si>
    <t>A change to this document has been announced. It is part of a suite of amendments that revises various fees contained in the document, in accordance with the method prescribed by law, on April 1, 2022. More information about the change, including any additional effective dates, is available &lt;a href="http://www2.publicationsduquebec.gouv.qc.ca/dynamicSearch/telecharge.php?type=4&amp;file=2211.PDF" target="_blank"&gt;here&lt;/a&gt;.</t>
  </si>
  <si>
    <t>CA-QC-Vol.154,No.11(177)</t>
  </si>
  <si>
    <t>Fees and charges payable under the Regulation respecting petroleum exploration, production and storage in a body of water (Indexation Notice)</t>
  </si>
  <si>
    <t>Regulation respecting petroleum exploration, production and storage on land</t>
  </si>
  <si>
    <t>CA-QC-CQLRcH-4.2,r2</t>
  </si>
  <si>
    <t>CA-QC-Vol.154,No.11(178)</t>
  </si>
  <si>
    <t>Fees and charges payable under the Regulation respecting petroleum exploration, production and storage on land (Indexation Notice)</t>
  </si>
  <si>
    <t>Regulation respecting petroleum exploration, production and storage licences, and the pipeline construction or use authorization</t>
  </si>
  <si>
    <t>CA-QC-CQLRcH-4.2,r3</t>
  </si>
  <si>
    <t>CA-QC-Vol.154,No.11(179)</t>
  </si>
  <si>
    <t>Fees and charges payable under the Regulation respecting petroleum exploration, production and storage licences, and the pipeline construction or use authorization (Indexation Notice)</t>
  </si>
  <si>
    <t>Exploration, Drilling and Production</t>
  </si>
  <si>
    <t>OReg245/97</t>
  </si>
  <si>
    <t>A change to this document has been announced. The effect of this change is notably to (1) provide requirements for compressed air energy storage (CAES) projects that use porous rock reservoirs and salt caverns for storage that are subject to the Oil, Gas and Salt Resources Act (RSO1990,cP.12), (2) introduce requirements to obtain an injection permit to authorize the injection of compressed air and any other substance into wells being used for a CAES project, and (3) update requirements for submitting well and subsurface storage facility plans to address the operation, decommissioning, and safety of wells and works used in a CAES project. The first effective date of the document that makes the change is July 1, 2022. More information about the change, including any additional effective dates, is available &lt;a href="https://www.ontario.ca/laws/regulation/r22151" target="_blank"&gt;here&lt;/a&gt;.</t>
  </si>
  <si>
    <t>CA-ON-OReg151/22</t>
  </si>
  <si>
    <t>Amending O. Reg. 245/97 (Exploration, Drilling and Production)</t>
  </si>
  <si>
    <t>Air Pollution - Discharge of Sulphur Dioxide From Petroleum Facilities Before 2029</t>
  </si>
  <si>
    <t>CA-ON-OReg530/18</t>
  </si>
  <si>
    <t>A change to this document has been announced. The effect of this change is notably to (1) modify the title of the Regulation to reflect that its applicability is before 2029, (2) specify that this Regulation applies to the IOL-Nanticoke, IOL-Sarnia, PCLI, Shell, and Suncor facilities, (3) require that estimates for the flow rate of acid gas, the concentration of hydrogen sulphide in acid gas, and the quantity of sulphur dioxide discharged from acid gas combustion equipment be determined based on the measurements concerning the discharge of sulphur dioxide from petroleum facilities, (4) replace the removal efficiency report for the sulphur recovery unit with an additives report for fluidized catalytic cracking units, (5) remove the minimization plan for flares and other combustion equipment, (6) clarify that a person who discharges, causes or permits the discharge of sulphur dioxide from a petroleum facility must ensure that the sulphur dioxide is calculated in accordance with local air quality requirements and is made available for examination by posting it on a website of the facility or by making it available during regular business hours, and (7) provide that if a sulphur recovery unit fails to operate in a normal manner, the total amount of sulphur dioxide discharged in the preceding 24-hour period must be calculated using the measurements required under the discharge of sulphur dioxide from petroleum facilities, and must be made available for examination by any person. The first effective date of the document that makes the change is February 25, 2022. More information about the change, including any additional effective dates, is available &lt;a href="https://www.ontario.ca/laws/regulation/r22089" target="_blank"&gt;here&lt;/a&gt;.</t>
  </si>
  <si>
    <t>CA-ON-OReg88/22</t>
  </si>
  <si>
    <t>Air Pollution - Discharge of Sulphur Dioxide from Petroleum Facilities</t>
  </si>
  <si>
    <t>Air Pollution - Local Air Quality</t>
  </si>
  <si>
    <t>O.Reg.419/05</t>
  </si>
  <si>
    <t>A change to this document has been announced. The effect of this change is notably to (1) provide exemptions to certain contaminant concentration and dispersion modelling requirements for discharges of sulphur dioxide from petroleum facilities, and (2) provide that a person who is required to prepare an Emission Summary and Dispersion Modelling report with respect to sulphur dioxide discharged from two or more properties that are deemed to be a single property (and from a certain petroleum facility) may prepare a separate report that excludes the sulphur dioxide discharges from the petroleum facility. The first effective date of the document that makes the change is July 1, 2023. More information about the change, including any additional effective dates, is available &lt;a href="https://www.ontario.ca/laws/regulation/r22090" target="_blank"&gt;here&lt;/a&gt;.</t>
  </si>
  <si>
    <t>CA-ON-OReg90/22</t>
  </si>
  <si>
    <t>Amending O. Reg. 419/05 (Air Pollution - Local Air Quality)</t>
  </si>
  <si>
    <t>CA-ON-OReg89/22</t>
  </si>
  <si>
    <t>Amending O. Reg. 530/18 (Air Pollution - Discharge of Sulphur Dioxide from Petroleum Facilities)</t>
  </si>
  <si>
    <t>Environmental Penalties Ontario</t>
  </si>
  <si>
    <t>O.Reg.222/07</t>
  </si>
  <si>
    <t>A change to this document has been announced. The effect of this change is notably to add certain activities to the table of contraventions concerning the discharge of sulphur dioxide from petroleum facilities into the natural environment. The first effective date of the document that makes the change is April 26, 2022. More information about the change, including any additional effective dates, is available &lt;a href="https://www.ontario.ca/laws/regulation/r22091" target="_blank"&gt;here&lt;/a&gt;.</t>
  </si>
  <si>
    <t>CA-ON-OReg91/22</t>
  </si>
  <si>
    <t>Amending O. Reg. 222/07 (Environmental Penalties)</t>
  </si>
  <si>
    <t>CA-BC-BCReg42/2022</t>
  </si>
  <si>
    <t>Greenhouse Gas Emission Reporting Regulation 2022-02-22 Amendments</t>
  </si>
  <si>
    <t>CA-AB.Dir010(2021-12-16)</t>
  </si>
  <si>
    <t>Directive 010: Minimum Casing Design Requirements 2021-12-16 Amendments</t>
  </si>
  <si>
    <t>Directive 059: Well Drilling and Completion Data Filing Requirements</t>
  </si>
  <si>
    <t>AB.Dir059</t>
  </si>
  <si>
    <t>A change to this document has been announced. The effect of this change is notably to require that directional survey reports be submitted to the Alberta Energy Regulator's designated information submission system, OneStop. The first effective date of the document that makes the change is November 4, 2021. More information about the change, including any additional effective dates, is available &lt;a href="https://static.aer.ca/prd/documents/directives/Directive059.pdf" target="_blank"&gt;here&lt;/a&gt;.</t>
  </si>
  <si>
    <t>CA-AB.Dir059(2021-11-04)</t>
  </si>
  <si>
    <t>Directive 059: Well Drilling and Completion Data Filing Requirements 2021-11-04 Amendments</t>
  </si>
  <si>
    <t>The Oil and Gas Act</t>
  </si>
  <si>
    <t>CCSMcO34</t>
  </si>
  <si>
    <t>CA-MB-Procl-2022-02-15(2)</t>
  </si>
  <si>
    <t>Proclamation of The Public Service Act</t>
  </si>
  <si>
    <t>CA-QC-SQ2022,c1</t>
  </si>
  <si>
    <t>An Act to amend various legislative provisions to implement Complementary Agreements No. 22 and No. 27 to the James Bay and Northern Québec Agreement</t>
  </si>
  <si>
    <t>Oil Sands Environmental Monitoring Program Regulation</t>
  </si>
  <si>
    <t>Alta.Reg.226/2013</t>
  </si>
  <si>
    <t>A change to this document has been announced. The effect of the change is to extend the expiry date of this rule until January 31, 2022. The first effective date of the document that makes the change is January 30, 2019. More information about the change, including any additional effective dates, is available at http://www.qp.alberta.ca/documents/gazette/2019/pdf/03_Feb15_Part2.pdf.</t>
  </si>
  <si>
    <t>CA-AB-AR9/2022</t>
  </si>
  <si>
    <t>Oil Sands Environmental Monitoring Program (Expiry Date Extension) Amendment Regulation</t>
  </si>
  <si>
    <t>Environmental Protection and Management Guideline</t>
  </si>
  <si>
    <t>BC.EPMG</t>
  </si>
  <si>
    <t>A change to this document has been announced. The effect of this change is notably to revise the guidance for caribou section to include additional documentation links for the conservation of the Southern Mountain Caribou. The first effective date of the document that makes the change is December 23, 2021. More information about the change, including any additional effective dates, is available &lt;a href="https://www.bcogc.ca/files/operations-documentation/Environmental-Management/Environmental-Protection-and-Management-Guideline.pdf" target="_blank"&gt;here&lt;/a&gt;.</t>
  </si>
  <si>
    <t>CA-BC-EPMG(2021-11-05)</t>
  </si>
  <si>
    <t>Environmental Protection and Management Guideline 2021-11-05 Amendments</t>
  </si>
  <si>
    <t>CA-BC-EPMG(2021-12-23)</t>
  </si>
  <si>
    <t>Environmental Protection and Management Guideline 2021-12-23 Amendments</t>
  </si>
  <si>
    <t>BC Measurement Guideline</t>
  </si>
  <si>
    <t>CA-BC-MGUOGO</t>
  </si>
  <si>
    <t>A change to this document has been announced. According to the BC Oil &amp; Gas Commission, the effect of the changes is to align the present document with the Alberta Energy Regulator Directive 17 (AB.Dir017), and the Government of Saskatchewan Directive PNG 017, Measurement Requirements for Oil and Gas Operations (CA-SK-Dir.PNG017). It notably (1) updates conditions for the Condensate Meter Proving Requirements, (2) updates the sampling and analysis frequencies for Gas Plants and Gas Gathering Systems, Conventional Oil Facilities, Multiwell Proration Oil Battery/Facility, and Miscible/Immiscible Flood, and (3) modifies reporting requirements for Hydrocarbon Blending and Flashing Shrinkages. The first effective date of the document that makes the change is November 4, 2021. More information about the change, including any additional effective dates, is available &lt;a href="https://www.bcogc.ca/files/operations-documentation/Oil-and-Gas-Operations-Manual/Supporting-Documents/BC-Measurement-Guideline.pdf" target="_blank"&gt;here&lt;/a&gt;.</t>
  </si>
  <si>
    <t>CA-BC-MGUOGO(2021-11-04)</t>
  </si>
  <si>
    <t>BC Measurement Guideline 2021-11-04 Amendments</t>
  </si>
  <si>
    <t>Emergency Management Manual</t>
  </si>
  <si>
    <t>BC-EmergencyManagementManual</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</si>
  <si>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href="https://www.bcogc.ca/files/operations-documentation/Emergency-Response-and-Safety/Emergency-Management-Manual.pdf" target="_blank"&gt;here&lt;/a&gt;.</t>
  </si>
  <si>
    <t>CA-BC-EmergencyManagementManual(2021-11-05)</t>
  </si>
  <si>
    <t>Emergency Management Manual 2021-11-05 Amendments</t>
  </si>
  <si>
    <t>Bill C-234 - An Act to amend the Greenhouse Gas Pollution Pricing Act</t>
  </si>
  <si>
    <t>CA-BillC-234(44-1)</t>
  </si>
  <si>
    <t>Bill 21, An Act mainly to end petroleum exploration and production and the public financing of those activities</t>
  </si>
  <si>
    <t>CA-QC-Bill21(42-2)</t>
  </si>
  <si>
    <t>Geologic Carbon Storage in Ontario</t>
  </si>
  <si>
    <t>CA-ON-ERO-019-4770</t>
  </si>
  <si>
    <t>Proposed regulatory changes for the beneficial reuse of excess soil at pits and quarries in Ontario</t>
  </si>
  <si>
    <t>CA-ON-ERO-019-4801</t>
  </si>
  <si>
    <t>Order Prohibiting Certain Activities in Arctic Offshore Waters</t>
  </si>
  <si>
    <t>CA-SOR/2019-280</t>
  </si>
  <si>
    <t>CA-SOR/2021-272</t>
  </si>
  <si>
    <t>Order Amending the Order Prohibiting Certain Activities in Arctic Offshore Waters</t>
  </si>
  <si>
    <t>CA-QC-OC1596-2021</t>
  </si>
  <si>
    <t>Regulation respecting the temporary implementation of the amendments made by chapter 7 of the Statutes of 2021 in connection with the management of flood risks</t>
  </si>
  <si>
    <t>Regulation respecting mineral substances other than petroleum, natural gas and brine</t>
  </si>
  <si>
    <t>RRQ,cM-13.1,r2</t>
  </si>
  <si>
    <t>CA-QC-Vol.153,No.52(762)(2)</t>
  </si>
  <si>
    <t>Regulation respecting mineral substances other than petroleum, natural gas and brine, Regulation respecting fees exigible for the transfer of land management, Attribution program for lands of the domain of the State under forest management used as blueberry fields (Indexation notice)</t>
  </si>
  <si>
    <t>CA-QC-IN(R)2021-12-02</t>
  </si>
  <si>
    <t>Information Note (Regulations) 2021-12-02</t>
  </si>
  <si>
    <t>Regulation respecting the burial of contaminated soils</t>
  </si>
  <si>
    <t>RRQ,cQ-2,r18</t>
  </si>
  <si>
    <t>CA-QC-SQ2021,c35</t>
  </si>
  <si>
    <t>An Act to amend various legislative provisions mainly for the purpose of reducing red tape</t>
  </si>
  <si>
    <t>Management of Greenhouse Gas Regulations</t>
  </si>
  <si>
    <t>CA-NL-NLR116/18</t>
  </si>
  <si>
    <t>CA-NL-NLR80/21</t>
  </si>
  <si>
    <t>Management of Greenhouse Gas Regulations (Amendment)</t>
  </si>
  <si>
    <t>Oil Sands Royalty Regulation</t>
  </si>
  <si>
    <t>Alta.Reg.223/2008</t>
  </si>
  <si>
    <t>A change to this document has been announced. The effect of this change is notably to establish additional restrictions on when an application for an approval of a proposed well-based Project may be made. The first effective date of the document that makes the change is December 1, 2021. More information about the change, including any additional effective dates, is available &lt;a href="https://www.qp.alberta.ca/documents/gazette/2021/pdf/23_Dec15_Part2.pdf" target="_blank"&gt;here&lt;/a&gt;.</t>
  </si>
  <si>
    <t>CA-AB-AR231/2021</t>
  </si>
  <si>
    <t>Oil Sands Royalty Regulation, 2009 Amendment Regulation</t>
  </si>
  <si>
    <t>Enhanced Hydrocarbon Recovery Royalty Regulation</t>
  </si>
  <si>
    <t>CA-AB-AltaReg210/2016</t>
  </si>
  <si>
    <t>A change to this document has been announced. The effect of this change is notably to (1) revise the definition of "pool" to exclude portions of a coal deposit that has been or is intended to be converted to synthetic coal gas or synthetic coal liquid, (2) revise the definition of "well event" to include the definition prescribed in the Oil Sands Royalty Regulation (Alta.Reg.223/2008), and (3) provide that a secondary or tertiary recovery scheme is considered an enhanced hydrocarbon recovery scheme if the scheme is approved by the Regulator and is comprised solely of non-Project well events. The first effective date of the document that makes the change is December 1, 2021. More information about the change, including any additional effective dates, is available &lt;a href="https://www.qp.alberta.ca/documents/gazette/2021/pdf/23_Dec15_Part2.pdf" target="_blank"&gt;here&lt;/a&gt;.</t>
  </si>
  <si>
    <t>CA-AB-AR230/2021</t>
  </si>
  <si>
    <t>Enhanced Hydrocarbon Recovery Royalty Amendment Regulation</t>
  </si>
  <si>
    <t>Responsible Energy Development Act</t>
  </si>
  <si>
    <t>SA2012,cR-17.3</t>
  </si>
  <si>
    <t>An Act amending this document is coming into force December 31, 2021. The effect of this change is notably to (1) consider the Geothermal Resource Development Act (CA-AB-SA2020,cG-5.5) ("the Act") as an energy resource enactment with which projects must comply, and (2) revise the definition of "well" to include the meaning given to it in the Act. More information about the change, including any additional effective dates, is available &lt;a href="https://www.qp.alberta.ca/documents/gazette/2021/pdf/24_Dec31_Part1.pdff" target="_blank"&gt;here&lt;/a&gt;.</t>
  </si>
  <si>
    <t>CA-AB-Vol.117,No.24(1097)</t>
  </si>
  <si>
    <t>Proclamation of the Geothermal Resource Development Act</t>
  </si>
  <si>
    <t>RSA2000,cP-15</t>
  </si>
  <si>
    <t>Oil and Gas Conservation Act</t>
  </si>
  <si>
    <t>RSA2000,cO-6</t>
  </si>
  <si>
    <t>An Act amending this document is coming into force December 31, 2021. The effect of this change is notably to (1) revise the definition of "facility" to include a facility as defined in the Geothermal Resource Development Act (CA-AB-SA2020,cG-5.5) ("the Act"), (2) revise the definition of "licensee" to include a person who is a licensee under the Act, (3) revise the definition of "pipeline" to exclude pipes, or systems of pipes that are used in connection with the development of geothermal resources or distribution of heat from the development of geothermal resources, and (4) revise the definition of "well" to include certain wells as defined in the Act. More information about the change, including any additional effective dates, is available &lt;a href="https://www.qp.alberta.ca/documents/gazette/2021/pdf/24_Dec31_Part1.pdff" target="_blank"&gt;here&lt;/a&gt;.</t>
  </si>
  <si>
    <t>Geothermal Resource Development Act</t>
  </si>
  <si>
    <t>CA-AB-SA2020,cG-5.5</t>
  </si>
  <si>
    <t>This Act is coming into force December 31, 2021. More information about the change, including any additional effective dates, is available &lt;a href="https://www.qp.alberta.ca/documents/gazette/2021/pdf/24_Dec31_Part1.pdff" target="_blank"&gt;here&lt;/a&gt;.</t>
  </si>
  <si>
    <t>Responsible Energy Development Act General Regulation</t>
  </si>
  <si>
    <t>Alta.Reg.90/2013</t>
  </si>
  <si>
    <t>CA-AB-AR255/2021</t>
  </si>
  <si>
    <t>Responsible Energy Development Act General Amendment Regulation</t>
  </si>
  <si>
    <t>CA-AB-AR254/2021</t>
  </si>
  <si>
    <t>Fuel Industry Certificates</t>
  </si>
  <si>
    <t>O.Reg.215/01</t>
  </si>
  <si>
    <t>A change to this document has been announced. The effect of this change is to replace references to obsolete legislation with the Building Opportunities in the Skilled Trades Act, 2021 (CA-ON-SO2021,c28), as it relates to certificates of qualification and provisional certificates of qualification for certain work. The first effective date of the document that makes the change is January 1, 2022. More information about the change, including any additional effective dates, is available &lt;a href="https://www.ontario.ca/laws/regulation/r21887" target="_blank"&gt;here&lt;/a&gt;.</t>
  </si>
  <si>
    <t>CA-ON-OReg887/21</t>
  </si>
  <si>
    <t>Amending O. Reg. 215/01 (Fuel Industry Certificates)</t>
  </si>
  <si>
    <t>The Management and Reduction of Greenhouse Gases (Standards and Compliance) Regulations</t>
  </si>
  <si>
    <t>CA-SK-RRScM-2.01Reg3</t>
  </si>
  <si>
    <t>A change to this document has been announced. The effect of this change is notably to (1) add five industrial sectors (chemical manufacturing, wood product manufacturing, mineral product manufacturing, agricultural and industrial equipment manufacturing, and food and beverage processing) to the list of regulated sectors to which certain performance standards apply, (2) permit emissions from well drilling, completion, and servicing activities as a stationary fuel combustion source for regulated sectors, and (3) reduce the minimum amount of regulated emissions of carbon dioxide equivalents for certain voluntarily registered regulated sectors. The first effective date of the document that makes the change is December 13, 2021. More information about the change, including any additional effective dates, is available &lt;a href="https://publications.saskatchewan.ca/api/v1/products/115781/formats/131537/download" target="_blank"&gt;here&lt;/a&gt;.</t>
  </si>
  <si>
    <t>CA-SK-Vol.117,No.51(3904)</t>
  </si>
  <si>
    <t>Amendment - The Management and Reduction of Greenhouse Gases (Standards and Compliance)</t>
  </si>
  <si>
    <t>Nova Scotia Offshore Area Certificate of Fitness Regulations</t>
  </si>
  <si>
    <t>CA-NS-NSReg4/96</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</si>
  <si>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href="https://novascotia.ca/just/regulations/rg2/2021/RG2-2021-12-31.pdf" target="_blank"&gt;here&lt;/a&gt;.</t>
  </si>
  <si>
    <t>CA-NS-NSReg168/2021</t>
  </si>
  <si>
    <t>Nova Scotia Offshore Area Certificate of Fitness Regulations–amendment</t>
  </si>
  <si>
    <t>CA-MB-SM2021,c11</t>
  </si>
  <si>
    <t>The Public Service Act</t>
  </si>
  <si>
    <t>Continuous Emission Monitoring System (CEMS) Code</t>
  </si>
  <si>
    <t>CEMSC-AB</t>
  </si>
  <si>
    <t>CA-AB-CEMSC-2021</t>
  </si>
  <si>
    <t>Railway Safety Administrative Monetary Penalties Regulations</t>
  </si>
  <si>
    <t>SOR/2014-233</t>
  </si>
  <si>
    <t>A change to this document has been announced. The effect of the changes is notably to allow the use of administrative monetary penalties for the enforcement of the COVID-19 vaccination mandates in the rail sector. The first effective date of the document that makes the change is November 12, 2021. More information about the change, including any additional effective dates, is available &lt;a href="https://canadagazetteducanada.gc.ca/rp-pr/p2/2021/2021-11-24/html/sor-dors228-eng.html" target="_blank"&gt;here&lt;/a&gt;.</t>
  </si>
  <si>
    <t>CA-SOR/2020-178</t>
  </si>
  <si>
    <t>Locomotive Voice and Video Recorder Regulations</t>
  </si>
  <si>
    <t>The Gas Licensing Act</t>
  </si>
  <si>
    <t>CA-SK-SS1988-89,cG-4.1</t>
  </si>
  <si>
    <t>CA-SK-SS2020,c31</t>
  </si>
  <si>
    <t>The Miscellaneous Statutes (Government Relations – Transfer of Gas, Electrical and Plumbing Functions) Amendment Act, 2020</t>
  </si>
  <si>
    <t>Gas Inspection Act</t>
  </si>
  <si>
    <t>SS1993,cG-3.2</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</si>
  <si>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href="https://publications.saskatchewan.ca/api/v1/products/107450/formats/120498/download" target="_blank"&gt;here&lt;/a&gt;.</t>
  </si>
  <si>
    <t>The Workers' Compensation Act, 2013</t>
  </si>
  <si>
    <t>SS2013,cW-17.11</t>
  </si>
  <si>
    <t>An Act amending this document is coming into force January 1, 2022. The effect of this change is notably to (1) revise the definition of "listed disease" to include an additional six types of cancer that are presumed occupational diseases of firefighters, and (2) add provisions relating to the duties of a workers' advocate. More information about the change, including any additional effective dates, is available &lt;a href="https://publications.saskatchewan.ca/api/v1/products/115584/formats/131251/download" target="_blank"&gt;here&lt;/a&gt;.</t>
  </si>
  <si>
    <t>CA-SK-SS2019,c28</t>
  </si>
  <si>
    <t>The Workers’ Compensation Amendment Act, 2019</t>
  </si>
  <si>
    <t>CA-AB-AEP-LP/2022No.2</t>
  </si>
  <si>
    <t>Guide to excluding the domestic use aquifer based on municipal bylaws</t>
  </si>
  <si>
    <t>CA-Vol.156,No.48(5632)</t>
  </si>
  <si>
    <t>Description of Piping Plover melodus subspecies critical habitat in the Big Glace Bay Lake National Wildlife Area, Pointe de l’Est National Wildlife Area and Port Joli Bird Sanctuary</t>
  </si>
  <si>
    <t>CA-Vol.156,No.48(5631)</t>
  </si>
  <si>
    <t>Description of Peary Caribou critical habitat in the Nanuit Itillinga National Wildlife Area and Banks Island Bird Sanctuary No. 2</t>
  </si>
  <si>
    <t>CA-Vol.156,No.48(5629)</t>
  </si>
  <si>
    <t>Description of Okanagan Efferia critical habitat in the Vaseux-Bighorn National Wildlife Area and Vaseux Lake Bird Sanctuary</t>
  </si>
  <si>
    <t>CA-Vol.156,No.48(5630)</t>
  </si>
  <si>
    <t>Description of Olive Clubtail critical habitat in the Vaseux-Bighorn National Wildlife Area and Vaseux Lake Bird Sanctuary</t>
  </si>
  <si>
    <t>CA-BC-RSBC2019,c1</t>
  </si>
  <si>
    <t>Workers Compensation Act</t>
  </si>
  <si>
    <t>CA-BC-SBC2022,c43</t>
  </si>
  <si>
    <t>Health Professions and Occupations Act</t>
  </si>
  <si>
    <t>A change to this document has been announced. The effect of this change is notably to clarify that the new Health Professions and Occupations Act governs authorizations of persons practicing certain designated health professions. The first effective date of the document that makes the change has not yet been announced. More information about the change, including any additional effective dates, is available &lt;a href="https://www.bclaws.gov.bc.ca/civix/document/id/bills/billscurrent/3rd42nd:gov36-3" target="_blank"&gt;here&lt;/a&gt;.</t>
  </si>
  <si>
    <t>SBC2008,c28</t>
  </si>
  <si>
    <t>Public Health Act</t>
  </si>
  <si>
    <t>A change to this document has been announced. The effect of this change is to update the definition of "health professional" to mean medical practitioners and persons authorized to practice health professions and designated health professions under the Health Professions and Occupations Act. The first effective date of the document that makes the change has not yet been announced. More information about the change, including any additional effective dates, is available &lt;a href="https://www.bclaws.gov.bc.ca/civix/document/id/bills/billscurrent/3rd42nd:gov36-3" target="_blank"&gt;here&lt;/a&gt;.</t>
  </si>
  <si>
    <t>RSBC1996,c244</t>
  </si>
  <si>
    <t>Labour Relations Code</t>
  </si>
  <si>
    <t>A change to this document has been announced. The first effective date of the document that makes the change has not yet been announced. More information about the change, including any additional effective dates, is available &lt;a href="https://www.bclaws.gov.bc.ca/civix/document/id/bills/billscurrent/3rd42nd:gov36-3" target="_blank"&gt;here&lt;/a&gt;.</t>
  </si>
  <si>
    <t>CA-BC-RSBC1996,c165</t>
  </si>
  <si>
    <t>Freedom of Information and Protection of Privacy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</si>
  <si>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href="https://www.bclaws.gov.bc.ca/civix/document/id/bills/billscurrent/3rd42nd:gov36-3" target="_blank"&gt;here&lt;/a&gt;.</t>
  </si>
  <si>
    <t>CA-BC-RSBC1996,c418</t>
  </si>
  <si>
    <t>Securities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</si>
  <si>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href="https://www.bclaws.gov.bc.ca/civix/document/id/bills/billscurrent/3rd42nd:gov37-3" target="_blank"&gt;here&lt;/a&gt;.</t>
  </si>
  <si>
    <t>CA-BC-SBC2021,c7</t>
  </si>
  <si>
    <t>Firearm Violence Prevention Act</t>
  </si>
  <si>
    <t>OReg449/07</t>
  </si>
  <si>
    <t>General - Mandatory Blood Testing Act, 2006</t>
  </si>
  <si>
    <t>CA-ON-OReg537/22</t>
  </si>
  <si>
    <t>Amending O. Reg. 449/07 (General)</t>
  </si>
  <si>
    <t>A change to this document has been announced. The first effective date of the document that makes the change is January 7, 2023. More information about the change, including any additional effective dates, is available &lt;a href="https://www.ontario.ca/laws/regulation/r22537" target="_blank"&gt;here&lt;/a&gt;.</t>
  </si>
  <si>
    <t>CA-NS-NSReg129/2003</t>
  </si>
  <si>
    <t>Apprenticeship and Trades Qualifications Act General Regulations</t>
  </si>
  <si>
    <t>CA-NS-NSReg127/2022</t>
  </si>
  <si>
    <t>Apprenticeship and Trades Qualifications Act General Regulations–amendment</t>
  </si>
  <si>
    <t>CA-NS-NSReg205/2016</t>
  </si>
  <si>
    <t>Blaster Trade Regulations</t>
  </si>
  <si>
    <t>CA-NS-NSReg145/2022</t>
  </si>
  <si>
    <t>Blaster Trade Regulations–amendment</t>
  </si>
  <si>
    <t>CA-NS-NSReg218/2018</t>
  </si>
  <si>
    <t>Heavy Duty Equipment Technician Trade Regulations</t>
  </si>
  <si>
    <t>CA-NS-NSReg154/2022</t>
  </si>
  <si>
    <t>Heavy Duty Equipment Technician Trade Regulations–amendment</t>
  </si>
  <si>
    <t>CA-NS-NSReg209/2016</t>
  </si>
  <si>
    <t>Floorcovering Installer Trade Regulations</t>
  </si>
  <si>
    <t>CA-NS-NSReg151/2022</t>
  </si>
  <si>
    <t>Floorcovering Installer Trade Regulations–amendment</t>
  </si>
  <si>
    <t>CA-NS-NSReg208/2019</t>
  </si>
  <si>
    <t>Elevating Device Mechanic Trade Regulations</t>
  </si>
  <si>
    <t>CA-NS-NSReg149/2022</t>
  </si>
  <si>
    <t>Elevating Device Mechanic Trade Regulations–amendment</t>
  </si>
  <si>
    <t>CA-NS-NSReg188/2016</t>
  </si>
  <si>
    <t>Construction Electrician Trade Regulations</t>
  </si>
  <si>
    <t>CA-NS-NSReg132/2022</t>
  </si>
  <si>
    <t>Construction Electrician Trade Regulations–amendment</t>
  </si>
  <si>
    <t>CA-NS-NSReg46/2022</t>
  </si>
  <si>
    <t>Communications Technician Trade Regulations</t>
  </si>
  <si>
    <t>CA-NS-NSReg147/2022</t>
  </si>
  <si>
    <t>Communications Technician Trade Regulations–amendment</t>
  </si>
  <si>
    <t>CA-NS-NSReg193/2016</t>
  </si>
  <si>
    <t>Sheet Metal Worker Trade Regulations</t>
  </si>
  <si>
    <t>CA-NS-NSReg136/2022</t>
  </si>
  <si>
    <t>Sheet Metal Worker Trade Regulations–amendment</t>
  </si>
  <si>
    <t>CA-NS-NSReg187/2016</t>
  </si>
  <si>
    <t>Bricklayer Trade Regulations</t>
  </si>
  <si>
    <t>CA-NS-NSReg131/2022</t>
  </si>
  <si>
    <t>Bricklayer Trade Regulations–amendment</t>
  </si>
  <si>
    <t>CA-NS-NSReg213/2016</t>
  </si>
  <si>
    <t>Industrial Mechanic (Millwright) Trade Regulations</t>
  </si>
  <si>
    <t>CA-NS-NSReg156/2022</t>
  </si>
  <si>
    <t>Industrial Mechanic (Millwright) Trade Regulations–amendment</t>
  </si>
  <si>
    <t>CA-NS-NSReg212/2016</t>
  </si>
  <si>
    <t>Industrial Electrician Trade Regulations</t>
  </si>
  <si>
    <t>CA-NS-NSReg155/2022</t>
  </si>
  <si>
    <t>Industrial Electrician Trade Regulations–amendmen</t>
  </si>
  <si>
    <t>CA-NS-NSReg215/2016</t>
  </si>
  <si>
    <t>Insulator (Heat and Frost) Trade Regulations</t>
  </si>
  <si>
    <t>CA-NS-NSReg158/2022</t>
  </si>
  <si>
    <t>Insulator (Heat and Frost) Trade Regulations–amendment</t>
  </si>
  <si>
    <t>CA-NS-NSReg214/2016</t>
  </si>
  <si>
    <t>Instrumentation and Control Technician Trade Regulations</t>
  </si>
  <si>
    <t>CA-NS-NSReg157/2022</t>
  </si>
  <si>
    <t>Instrumentation and Control Technician Trade Regulations–amendment</t>
  </si>
  <si>
    <t>CA-NS-NSReg226/2016</t>
  </si>
  <si>
    <t>Mine Mechanic Trade Regulations</t>
  </si>
  <si>
    <t>CA-NS-NSReg166/2022</t>
  </si>
  <si>
    <t>Mine Mechanic Trade Regulations–amendment</t>
  </si>
  <si>
    <t>CA-NS-NSReg225/2016</t>
  </si>
  <si>
    <t>Mine Electrician Trade Regulations</t>
  </si>
  <si>
    <t>CA-NS-NSReg165/2022</t>
  </si>
  <si>
    <t>Mine Electrician Trade Regulations–amendment</t>
  </si>
  <si>
    <t>CA-NS-NSReg222/2016</t>
  </si>
  <si>
    <t>Marine Fitter Trade Regulations</t>
  </si>
  <si>
    <t>CA-NS-NSReg164/2022</t>
  </si>
  <si>
    <t>Marine Fitter Trade Regulations–amendment</t>
  </si>
  <si>
    <t>CA-NS-NSReg221/2016</t>
  </si>
  <si>
    <t>Machinist Trade Regulations</t>
  </si>
  <si>
    <t>CA-NS-NSReg163/2022</t>
  </si>
  <si>
    <t>Machinist Trade Regulations–amendment</t>
  </si>
  <si>
    <t>CA-NS-NSReg220/2016</t>
  </si>
  <si>
    <t>Lather (Interior Systems Mechanic) Trade Regulations</t>
  </si>
  <si>
    <t>CA-NS-NSReg162/2022</t>
  </si>
  <si>
    <t>Lather (Interior Systems Mechanic) Trade Regulations–amendment</t>
  </si>
  <si>
    <t>CA-NS-NSReg218/2016</t>
  </si>
  <si>
    <t>Ironworker (Structural/Ornamental) Trade Regulations</t>
  </si>
  <si>
    <t>CA-NS-NSReg160/2022</t>
  </si>
  <si>
    <t>Ironworker (Structural/Ornamental) Trade Regulations–amendment</t>
  </si>
  <si>
    <t>CA-NS-NSReg217/2016</t>
  </si>
  <si>
    <t>Ironworker (Reinforcing) Trade Regulations</t>
  </si>
  <si>
    <t>CA-NS-NSReg159/2022</t>
  </si>
  <si>
    <t>Ironworker (Reinforcing) Trade Regulations–amendment</t>
  </si>
  <si>
    <t>CA-NS-NSReg191/2016</t>
  </si>
  <si>
    <t>Plumber Trade Regulations</t>
  </si>
  <si>
    <t>CA-NS-NSReg134/2022</t>
  </si>
  <si>
    <t>Plumber Trade Regulations–amendment</t>
  </si>
  <si>
    <t>CA-NS-NSReg227/2016</t>
  </si>
  <si>
    <t>Painter and Decorator Trade Regulations</t>
  </si>
  <si>
    <t>CA-NS-NSReg167/2022</t>
  </si>
  <si>
    <t>Painter and Decorator Trade Regulations–amendment</t>
  </si>
  <si>
    <t>CA-NS-NSReg281/2011</t>
  </si>
  <si>
    <t>Summary Offence Tickets Regulations</t>
  </si>
  <si>
    <t>CA-NS-NSReg173/2022</t>
  </si>
  <si>
    <t>Summary Offence Tickets Regulations–amendment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</si>
  <si>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href="https://novascotia.ca/just/regulations/rg2/2022/RG2-2022-11-04.pdf" target="_blank"&gt;here&lt;/a&gt;.</t>
  </si>
  <si>
    <t>CA-NS-NSReg231/2016</t>
  </si>
  <si>
    <t>Welder Trade Regulations</t>
  </si>
  <si>
    <t>CA-NS-NSReg172/2022</t>
  </si>
  <si>
    <t>Welder Trade Regulations–amendment</t>
  </si>
  <si>
    <t>CA-NS-NSReg151/2021</t>
  </si>
  <si>
    <t>Transport Trailer Technician Trade Regulations</t>
  </si>
  <si>
    <t>CA-NS-NSReg171/2022</t>
  </si>
  <si>
    <t>Transport Trailer Technician Trade Regulations–amendment</t>
  </si>
  <si>
    <t>CA-NS-NSReg54/2019</t>
  </si>
  <si>
    <t>Sprinkler Fitter Trade Regulations</t>
  </si>
  <si>
    <t>CA-NS-NSReg137/2022</t>
  </si>
  <si>
    <t>Sprinkler Fitter Trade Regulations–amendment</t>
  </si>
  <si>
    <t>CA-NS-NSReg230/2016</t>
  </si>
  <si>
    <t>Roofer Trade Regulations</t>
  </si>
  <si>
    <t>CA-NS-NSReg170/2022</t>
  </si>
  <si>
    <t>Roofer Trade Regulations–amendment</t>
  </si>
  <si>
    <t>CA-NS-NSReg229/2016</t>
  </si>
  <si>
    <t>Restoration Stone Mason Trade Regulations</t>
  </si>
  <si>
    <t>CA-NS-NSReg169/2022</t>
  </si>
  <si>
    <t>Restoration Stone Mason Trade Regulations–amendment</t>
  </si>
  <si>
    <t>CA-NS-NSReg192/2016</t>
  </si>
  <si>
    <t>Refrigeration and Air Conditioning Mechanic Trade Regulation</t>
  </si>
  <si>
    <t>CA-NS-NSReg135/2022</t>
  </si>
  <si>
    <t>Refrigeration and Air Conditioning Mechanic Trade Regulations–amendment</t>
  </si>
  <si>
    <t>CA-NS-NSReg228/2016</t>
  </si>
  <si>
    <t>Powerline Technician Trade Regulations</t>
  </si>
  <si>
    <t>CA-NS-NSReg168/2022</t>
  </si>
  <si>
    <t>Powerline Technician Trade Regulations–amendment</t>
  </si>
  <si>
    <t>CA-NS-NSReg178/2022</t>
  </si>
  <si>
    <t>CA-NS-NSReg176/2022</t>
  </si>
  <si>
    <t>CA-NS-NSReg175/2022</t>
  </si>
  <si>
    <t>CA-NS-NSReg174/2022</t>
  </si>
  <si>
    <t>CA-NS-NSReg195/2022</t>
  </si>
  <si>
    <t>CA-NS-NSReg187/2022</t>
  </si>
  <si>
    <t>CA-NS-NSReg87/2002</t>
  </si>
  <si>
    <t>New Small Business Regulations</t>
  </si>
  <si>
    <t>CA-NS-NSReg212/2022</t>
  </si>
  <si>
    <t>New Small Business Regulations–amendment</t>
  </si>
  <si>
    <t>CA-NS-NSReg202/2022</t>
  </si>
  <si>
    <t>CA-NS-NSReg60/1971</t>
  </si>
  <si>
    <t>Condominium Regulations</t>
  </si>
  <si>
    <t>CA-NS-NSReg205/2022</t>
  </si>
  <si>
    <t>Condominium Regulations–amendment</t>
  </si>
  <si>
    <t>CA-NS-NSReg197/2022</t>
  </si>
  <si>
    <t>CA-NS-NSReg196/2022</t>
  </si>
  <si>
    <t>CA-PE-EC2022-863</t>
  </si>
  <si>
    <t>Electric Kick-Scooters Regulation</t>
  </si>
  <si>
    <t>CA-SK-Prop2022-11-22</t>
  </si>
  <si>
    <t>Review of the Workers' Compensation Act</t>
  </si>
  <si>
    <t>CA-PE-PEIRegEC713/06</t>
  </si>
  <si>
    <t>Commercial Vehicle Drivers Hours of Service Regulations</t>
  </si>
  <si>
    <t>CA-PE-EC2022-862</t>
  </si>
  <si>
    <t>Commercial Vehicle Drivers Hours of Service Regulations Amendment</t>
  </si>
  <si>
    <t>A change to this document has been announced. According to the government, the effect of this change is notably to replace "a paper daily log or an [electronic recording device (ERD)] with an electronic logging device (ELD)," mandate the use of ELDs "by drivers who are currently maintaining a daily log [of their on- and off-duty time] and [establish] more specific requirements for supporting documents that must be kept by the driver and motor carrier." It also "incorporates, by reference, a technical standard to establish minimum performance and design specifications for ELDs." The first effective date of the document that makes the change is November 26, 2022. More information about the change, including any additional effective dates, is available &lt;a href="https://www.princeedwardisland.ca/sites/default/files/publications/royal_gazette/rg_issue_48-november_26_2022_complete.pdf" target="_blank"&gt;here&lt;/a&gt;.</t>
  </si>
  <si>
    <t>CA-PE-PEIRegEC580/95</t>
  </si>
  <si>
    <t>Highway Access Regulations</t>
  </si>
  <si>
    <t>CA-PE-EC2022-883</t>
  </si>
  <si>
    <t>Highway Access Regulations Amendment</t>
  </si>
  <si>
    <t>A change to this document has been announced. The change is part of a suite of amendments to various highway and infill area designations. The first effective date of the document that makes the change is November 26, 2022. More information about the change, including any additional effective dates, is available &lt;a href="https://www.princeedwardisland.ca/sites/default/files/publications/royal_gazette/rg_issue_48-november_26_2022_complete.pdf" target="_blank"&gt;here&lt;/a&gt;.</t>
  </si>
  <si>
    <t>CA-PE-EC2022-882</t>
  </si>
  <si>
    <t>CA-PE-EC2022-881</t>
  </si>
  <si>
    <t>CA-PE-EC2022-884</t>
  </si>
  <si>
    <t>CA-PE-EC2022-885</t>
  </si>
  <si>
    <t>CA-PE-EC2022-886</t>
  </si>
  <si>
    <t>CA-PE-PEIRegEC760/03</t>
  </si>
  <si>
    <t>Trails Act General Regulations</t>
  </si>
  <si>
    <t>CA-PE-EC2022-887</t>
  </si>
  <si>
    <t>General Regulations Amendment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</si>
  <si>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href="https://www.princeedwardisland.ca/sites/default/files/publications/royal_gazette/rg_issue_48-november_26_2022_complete.pdf" target="_blank"&gt;here&lt;/a&gt;.</t>
  </si>
  <si>
    <t>CA-ON-Bill36(43-1)</t>
  </si>
  <si>
    <t>Bill 36, Progress on the Plan to Build Act (Budget Measures), 2022</t>
  </si>
  <si>
    <t>BC.Reg.296/97</t>
  </si>
  <si>
    <t>Occupational Health and Safety Regulation</t>
  </si>
  <si>
    <t>CA-BC-BCReg223/2022</t>
  </si>
  <si>
    <t>Occupational Health and Safety Regulation 2022-11-22 Amendments</t>
  </si>
  <si>
    <t>A change to this document has been announced. The effect of this change is notably to:&lt;p&gt;&lt;li&gt;revise the definition of "misadventure" to exclude contact with a high voltage electrical source unless the contact is consistent with operation and collisions;&lt;li&gt;remove certain provisions concerning contact with loads and structures;&lt;li&gt;require employers, where practicable, to ensure that tower cranes are erected to avoid creating an overlapping operating zone;&lt;li&gt;establish new requirements for written operating procedures for coordinating lifting tasks in an overlapping operating zone to prevent collision; and&lt;li&gt;require employers, where practicable, to ensure that tower cranes operating at workplaces that have exposed electrical equipment or conductors with a certain voltage are equipped with zone-limiting devices that prevent the cranes from operating too close to the exposed electrical equipment or conductors,
 The first effective date of the document that makes the change is March 1, 2023. More information about the change, including any additional effective dates, is available &lt;a href="https://www.bclaws.gov.bc.ca/civix/document/id/regulationbulletin/regulationbulletin/r0223_2022" target="_blank"&gt;here&lt;/a&gt;.</t>
  </si>
  <si>
    <t>CA-BC-SBC2020,c8</t>
  </si>
  <si>
    <t>COVID-19 Related Measures Act</t>
  </si>
  <si>
    <t>CA-BC-SBC2022,c41</t>
  </si>
  <si>
    <t>Building and Strata Statutes Amendment Act, 2022</t>
  </si>
  <si>
    <t>A change to this document has been announced. The effect of the changes is notably to set to December 1, 2022 the date this Act is repealed. The first effective date of the document that makes the change is November 25, 2021. More information about the change, including any additional effective dates, is available &lt;a href="https://www.leg.bc.ca/Pages/BCLASS-Legacy.aspx#%2Fcontent%2Fdata%2520-%2520ldp%2Fpages%2F42nd2nd%2F3rd_read%2Fgov30-3.htm" target="_blank"&gt;here&lt;/a&gt;.</t>
  </si>
  <si>
    <t>CA-BC-SBC2022,c37</t>
  </si>
  <si>
    <t>Workers Compensation Amendment Act (No. 2), 2022</t>
  </si>
  <si>
    <t>CA-SOR/2022-237</t>
  </si>
  <si>
    <t>Regulations Implementing the United Nations Resolution on Haiti</t>
  </si>
  <si>
    <t>CA-SOR/2022-236</t>
  </si>
  <si>
    <t>Critical Habitat of the Pugnose Minnow (Opsopoeodus emiliae) Order</t>
  </si>
  <si>
    <t>CA-SOR/2022-235</t>
  </si>
  <si>
    <t>Critical Habitat of the Black Redhorse (Moxostoma duquesnei) Order</t>
  </si>
  <si>
    <t>CA-SOR/2022-226</t>
  </si>
  <si>
    <t>Special Economic Measures (Haiti) Regulations</t>
  </si>
  <si>
    <t>CA-SOR/2020-260</t>
  </si>
  <si>
    <t>Administrative Monetary Penalties (Canada Labour Code) Regulations</t>
  </si>
  <si>
    <t>CA-SOR/2022-228</t>
  </si>
  <si>
    <t>Regulations Amending Certain Regulations Made Under the Canada Labour Code (Medical Leave with Pay)</t>
  </si>
  <si>
    <t>A change to this document has been announced. The effect of this change is notably to prescribe violation classes for violations of certain requirements concerning the provision of respiratory protection equipment. The first effective date of the document that makes the change is May 2, 2022. More information about the change, including any additional effective dates, is available &lt;a href="https://canadagazetteducanada.gc.ca/rp-pr/p2/2022/2022-05-11/html/sor-dors94-eng.html" target="_blank"&gt;here&lt;/a&gt;.</t>
  </si>
  <si>
    <t>CA-SOR/2020-145</t>
  </si>
  <si>
    <t>Standards for Work-Integrated Learning Activities Regulations</t>
  </si>
  <si>
    <t>A change to this document has been announced. The first effective date of the document that makes the change has not yet been announced. More information about the change, including any additional effective dates, is available &lt;a href="https://canadagazetteducanada.gc.ca/rp-pr/p2/2022/2022-11-23/html/sor-dors228-eng.html" target="_blank"&gt;here&lt;/a&gt;.</t>
  </si>
  <si>
    <t>CRC,c986</t>
  </si>
  <si>
    <t>Canada Labour Standards Regulations</t>
  </si>
  <si>
    <t>DSL</t>
  </si>
  <si>
    <t>Domestic Substances List</t>
  </si>
  <si>
    <t>CA-SOR/2022-233</t>
  </si>
  <si>
    <t>Order 2022-112-10-01 Amending the Domestic Substances List</t>
  </si>
  <si>
    <t>A change to this document has been announced. The changes:&lt;p&gt;&lt;li&gt;add the following substance to part 5 “inanimate biotechnology products and living organisms identified by their American Type Culture Collection (ATCC) number, International Union of Biochemistry and Molecular Biology (IUBMB) number or specific substance name" of the Domestic Substances List (DSL): Genetically engineered human CD34+ enriched hematopoietic stem-progenitor cells (HSPC) lacking expression of the CD33 myeloid protein (VOR33); and&lt;li&gt;add the following substances to part 7 “inanimate biotechnology products and living organisms identified by their masked name and CAN number” of the DSL: 19619-7, 19620-8, 19621-9, 19622-0, 19624-2 (CAN).&lt;/p&gt; The first effective date of the document that makes the change is November 7, 2022. More information about the change, including any additional effective dates, is available &lt;a href="https://canadagazetteducanada.gc.ca/rp-pr/p2/2022/2022-11-23/html/sor-dors233-eng.html" target="_blank"&gt;here&lt;/a&gt;.</t>
  </si>
  <si>
    <t>SOR/2017-14</t>
  </si>
  <si>
    <t>Vessel Fire Safety Regulations</t>
  </si>
  <si>
    <t>CA-SOR/2022-229</t>
  </si>
  <si>
    <t>Regulations Amending the Vessel Fire Safety Regulations</t>
  </si>
  <si>
    <t>A change to this document has been announced. The effect of this change, according to the government, is notably to:&lt;p&gt;&lt;li&gt; "incorporate by reference the provisions of [the Convention for the Safety of Life at Sea, 1974 Chapter II-2, regulation 1, paragraph 2 (SOLAS Chapter II-2)] which lays out the applicability of the requirements found in SOLAS Chapter II-2 based on a vessel’s construction date";&lt;li&gt; update firefighter outfit requirements by incorporating by reference both applicable requirements of the &lt;a href="https://eur-lex.europa.eu/legal-content/EN/TXT/?uri=CELEX%3A32014L0090" target="_blank"&gt;Directive 2014/90/EU of the European Parliament and of the Council of 23 July 2014 on marine equipment and repealing Council Directive 96/98/EC&lt;/a&gt; (EU Directive 2014/90/EU) and &lt;a href="https://www.nfpa.org/codes-and-standards/all-codes-and-standards/list-of-codes-and-standards/detail?code=1971" target="_blank"&gt;NFPA 1971 (Standard on Protective Ensembles for Structural Fire Fighting and Proximity Fire Fighting)&lt;/a&gt;; and&lt;li&gt; update firefighter breathing apparatus requirements by incorporating by reference (i) the applicable requirements of the EU Directive 2014/90/EU, &lt;a href="https://www.nfpa.org/codes-and-standards/all-codes-and-standards/list-of-codes-and-standards/detail?code=1981" target="_blank"&gt;NFPA 1981 (Standard on Open-Circuit Self-Contained Breathing Apparatus (SCBA) for Emergency Services)&lt;/a&gt;, and the &lt;a href=" https://www.ecfr.gov/current/title-42/chapter-I/subchapter-G/part-84" target="_blank"&gt;US Code of Federal Regulations Title 42, chapter I, subchapter G, part 84 - Approval of Respiratory Protective Devices&lt;/a&gt;.&lt;/p&gt; The first effective date of the document that makes the change is November 23, 2022. More information about the change, including any additional effective dates, is available &lt;a href="https://canadagazetteducanada.gc.ca/rp-pr/p2/2022/2022-11-23/html/sor-dors229-eng.html" target="_blank"&gt;here&lt;/a&gt;.</t>
  </si>
  <si>
    <t>CA-SOR/2022-234</t>
  </si>
  <si>
    <t>Order 2022-105-01-01 Amending the Domestic Substances List</t>
  </si>
  <si>
    <t>CA-SOR/2014-58</t>
  </si>
  <si>
    <t>Special Economic Measures (Russia) Regulations</t>
  </si>
  <si>
    <t>CA-SOR/2022-238</t>
  </si>
  <si>
    <t>Regulations Amending the Special Economic Measures (Russia) Regulations</t>
  </si>
  <si>
    <t>A change to this document has been announced. The first effective date of the document that makes the change is November 10, 2022. More information about the change, including any additional effective dates, is available &lt;a href="https://canadagazetteducanada.gc.ca/rp-pr/p2/2022/2022-11-23/html/sor-dors238-eng.html" target="_blank"&gt;here&lt;/a&gt;.</t>
  </si>
  <si>
    <t>CA-SOR/2010-165</t>
  </si>
  <si>
    <t>Special Economic Measures (Iran) Regulations</t>
  </si>
  <si>
    <t>CA-SOR/2022-239</t>
  </si>
  <si>
    <t>Regulations Amending the Special Economic Measures (Iran) Regulations</t>
  </si>
  <si>
    <t>A change to this document has been announced. The first effective date of the document that makes the change is November 10, 2022. More information about the change, including any additional effective dates, is available &lt;a href="https://canadagazetteducanada.gc.ca/rp-pr/p2/2022/2022-11-23/html/sor-dors239-eng.html" target="_blank"&gt;here&lt;/a&gt;.</t>
  </si>
  <si>
    <t>CA-NT-Prop2022-11-21</t>
  </si>
  <si>
    <t>Public engagement on a new Forest Act</t>
  </si>
  <si>
    <t>CA-SC2022,c14,s3</t>
  </si>
  <si>
    <t>Rental Housing Benefit Act</t>
  </si>
  <si>
    <t>CA-SC2022,c14,s2</t>
  </si>
  <si>
    <t>Dental Benefit Act</t>
  </si>
  <si>
    <t>SC1996,c19</t>
  </si>
  <si>
    <t>Controlled Drugs and Substances Act</t>
  </si>
  <si>
    <t>CA-SC2022,c15</t>
  </si>
  <si>
    <t>An Act to amend the Criminal Code and the Controlled Drugs and Substances Act</t>
  </si>
  <si>
    <t>A change to this document has been announced. The first effective date of the document that makes the change is November 17, 2022. More information about the change, including any additional effective dates, is available &lt;a href="https://www.parl.ca/DocumentViewer/en/44-1/bill/C-5/royal-assent" target="_blank"&gt;here&lt;/a&gt;.</t>
  </si>
  <si>
    <t>RSC1985,cC-46</t>
  </si>
  <si>
    <t>Criminal Code</t>
  </si>
  <si>
    <t>Provisions of an Act amending this document are coming into force on October 26, 2022. More information about the change, including any additional effective dates, is available &lt;a href="https://canadagazetteducanada.gc.ca/rp-pr/p2/2022/2022-10-26/html/si-tr51-eng.html" target="_blank"&gt;here&lt;/a&gt;.</t>
  </si>
  <si>
    <t>NDSL</t>
  </si>
  <si>
    <t>Non Domestic Substances List</t>
  </si>
  <si>
    <t>CA-Vol.156,No.47(5590)</t>
  </si>
  <si>
    <t>Order 2022-87-10-02 Amending the Non-domestic Substances List</t>
  </si>
  <si>
    <t>A change to this document has been announced. The change removes the following substance from the Non Domestic Substances List and transfers it to part 1 “chemicals and polymers” of the Domestic Substances List: 1392411-89-0 (CAS RN). The first effective date of the document that makes the change is November 7, 2022. More information about the change, including any additional effective dates, is available &lt;a href="https://canadagazetteducanada.gc.ca/rp-pr/p1/2022/2022-11-19/html/notice-avis-eng.html#ne2" target="_blank"&gt;here&lt;/a&gt;.</t>
  </si>
  <si>
    <t>CA-SC2002,c22</t>
  </si>
  <si>
    <t>Excise Act, 2001</t>
  </si>
  <si>
    <t>CA-SC2022,c14</t>
  </si>
  <si>
    <t>Cost of Living Relief Act, No. 2 (Targeted Support for Households)</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</si>
  <si>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href="http://www.parl.ca/DocumentViewer/en/44-1/bill/C-19/royal-assent#ID0E0KR0DA" target="_blank"&gt;here&lt;/a&gt; and &lt;a href="http://www.parl.ca/DocumentViewer/en/44-1/bill/C-19/royal-assent#ID0E0MO0DA" target="_blank"&gt;here&lt;/a&gt;.</t>
  </si>
  <si>
    <t>RSC1985,cE-15</t>
  </si>
  <si>
    <t>Excise Tax Act</t>
  </si>
  <si>
    <t>A change to this document has been announced. The first effective date of the document that makes the change is September 1, 2021. More information about the change, including any additional effective dates, is available &lt;a href="http://www.parl.ca/DocumentViewer/en/44-1/bill/C-8/royal-assent#ID0E0QB0AA" target="_blank"&gt;here&lt;/a&gt;.</t>
  </si>
  <si>
    <t>CA-RSC1985,c1(5thSupp)</t>
  </si>
  <si>
    <t>Income Tax Act</t>
  </si>
  <si>
    <t>A change to this document has been announced. The first effective date of the document that makes the change is November 17, 2022. More information about the change, including any additional effective dates, is available &lt;a href="https://www.parl.ca/DocumentViewer/en/44-1/bill/C-31/royal-assent" target="_blank"&gt;here&lt;/a&gt;.</t>
  </si>
  <si>
    <t>RRO1990,Reg608</t>
  </si>
  <si>
    <t>Restricted Use of Left Lanes by Commercial Motor Vehicles</t>
  </si>
  <si>
    <t>CA-ON-OReg524/22</t>
  </si>
  <si>
    <t>Amending Reg. 608 Of R.R.O. 1990 (Restricted Use of Left Lanes by Commercial Motor Vehicles)</t>
  </si>
  <si>
    <t>A change to this document has been announced. The first effective date of the document that makes the change is November 16, 2022. More information about the change, including any additional effective dates, is available &lt;a href="https://www.ontario.ca/laws/regulation/r22524" target="_blank"&gt;here&lt;/a&gt;.</t>
  </si>
  <si>
    <t>OReg620/05</t>
  </si>
  <si>
    <t>High Occupancy Vehicle Lanes</t>
  </si>
  <si>
    <t>CA-ON-OReg523/22</t>
  </si>
  <si>
    <t>Amending O. Reg. 620/05 (High Occupancy Vehicle Lanes)</t>
  </si>
  <si>
    <t>A change to this document has been announced. The first effective date of the document that makes the change is November 16, 2022. More information about the change, including any additional effective dates, is available &lt;a href="https://www.ontario.ca/laws/regulation/r22523" target="_blank"&gt;here&lt;/a&gt;.</t>
  </si>
  <si>
    <t>CA-SOR/2022-232</t>
  </si>
  <si>
    <t>Order 2022-87-10-01 Amending the Domestic Substances List</t>
  </si>
  <si>
    <t>Nunavut</t>
  </si>
  <si>
    <t>CA-NU-SNu2020,c15</t>
  </si>
  <si>
    <t>Legislation Act</t>
  </si>
  <si>
    <t>CA-NU-SNu2022,c14</t>
  </si>
  <si>
    <t>Miscellaneous Statutes Amendment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</si>
  <si>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href="https://www.nunavutlegislation.ca/en/file-download/download/public/7327" target="_blank"&gt;here&lt;/a&gt;.</t>
  </si>
  <si>
    <t>CA-NU-RSNWT(Nu)1988,cL-1</t>
  </si>
  <si>
    <t>Labour Standards Act</t>
  </si>
  <si>
    <t>Yukon</t>
  </si>
  <si>
    <t>CA-YT-SY2022,c14</t>
  </si>
  <si>
    <t>Clean Energy Act</t>
  </si>
  <si>
    <t>CA-SK-Bill91(29-3)</t>
  </si>
  <si>
    <t>Bill 91 - The Saskatchewan Employment (Part III) Amendment Act, 2022</t>
  </si>
  <si>
    <t>RRQ,cB-1.1,r3</t>
  </si>
  <si>
    <t>Safety Code</t>
  </si>
  <si>
    <t>CA-QC-OC1721-2022</t>
  </si>
  <si>
    <t>Regulation amending the Regulation to amend the Safety Code</t>
  </si>
  <si>
    <t>A change to this document has been announced. The effect of this change is notably to push the effective date of requirements for the installation of sprinkler systems at certain private seniors' residences to become applicable, from December 2, 2022, to December 2, 2024. More information about the change, including any additional effective dates, is available &lt;a href="https://www2.publicationsduquebec.gouv.qc.ca/dynamicSearch/telecharge.php?type=1&amp;file=106028.pdf" target="_blank"&gt;here&lt;/a&gt;.</t>
  </si>
  <si>
    <t>CA-YT-RSY2002,c108</t>
  </si>
  <si>
    <t>Highways Act</t>
  </si>
  <si>
    <t>CA-YT-SY2022,c13</t>
  </si>
  <si>
    <t>Animal Protection and Control Act</t>
  </si>
  <si>
    <t>A change to this document has been announced. The effect of this change is to revise the definition of "animal" to mean any vertebrates (except wildlife kept in captivity) and any species prescribed by the government, and remove rules concerning animals straying on highways, which are continued under the Animal Protection and Control Act (CA-YT-SY2022,c13). The first effective date of the document that makes the change has not yet been announced. More information about the change, including any additional effective dates, is available &lt;a href="https://laws.yukon.ca/cms/images/LEGISLATION/acts/2022-0013.pdf" target="_blank"&gt;here&lt;/a&gt;.</t>
  </si>
  <si>
    <t>CA-QC-CQLRcQ-2,r9.1</t>
  </si>
  <si>
    <t>Regulation respecting compensation for adverse effects on wetlands and bodies of water</t>
  </si>
  <si>
    <t>CA-QC-IN(R)2022-11-17</t>
  </si>
  <si>
    <t>Information note (Regulations) 2022-11-17</t>
  </si>
  <si>
    <t>A change to this document has been announced. The effect of the change is to increase the fees for creating or restoring a wetland or aquatic environment, in accordance with the method prescribed by law, on January 1, 2022. More information about the change, including any additional effective dates, is available &lt;a href="http://www2.publicationsduquebec.gouv.qc.ca/dynamicSearch/telecharge.php?type=4&amp;file=2209.PDF" target="_blank"&gt;here&lt;/a&gt;.</t>
  </si>
  <si>
    <t>SNS2008,c39</t>
  </si>
  <si>
    <t>Halifax Regional Municipality Charter</t>
  </si>
  <si>
    <t>CA-NS-SNS2022,c50</t>
  </si>
  <si>
    <t>An Act to Amend Chapter 18 of the Acts of 1998, the Municipal Government Act, and Chapter 39 of the Acts of 2008, the Halifax Regional Municipality Charter, Respecting Marketing Levies</t>
  </si>
  <si>
    <t>A change to this document has been announced. The first effective date of the document that makes the change is November 21, 2022. More information about the change, including any additional effective dates, is available &lt;a href="https://nslegislature.ca/sites/default/files/legc/PDFs/annual%20statutes/2022%20Fall/c050.pdf" target="_blank"&gt;here&lt;/a&gt;.</t>
  </si>
  <si>
    <t>SNS1998,c18</t>
  </si>
  <si>
    <t>Municipal Government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</si>
  <si>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href="https://www.canlii.org/en/ns/laws/astat/sns-2022-c-38/latest/sns-2022-c-38.html" target="_blank"&gt;here&lt;/a&gt;.</t>
  </si>
  <si>
    <t>RSNS1989,c246</t>
  </si>
  <si>
    <t>Labour Standards Code</t>
  </si>
  <si>
    <t>CA-NS-SNS2022,c41</t>
  </si>
  <si>
    <t>Ruby’s Law</t>
  </si>
  <si>
    <t>A change to this document has been announced. The first effective date of the document that makes the change is January 1, 2023. More information about the change, including any additional effective dates, is available &lt;a href="https://nslegislature.ca/sites/default/files/legc/PDFs/annual%20statutes/2022%20Fall/c041.pdf" target="_blank"&gt;here&lt;/a&gt;.</t>
  </si>
  <si>
    <t>SNS2001,c37</t>
  </si>
  <si>
    <t>Subsurface Energy Storage Act</t>
  </si>
  <si>
    <t>A change to this document has been announced. The effect of this change, according to the government, is notably to expand the document's scope to include subsurface energy storage by including hydrogen, ammonia, carbon sequestration and compressed air energy storage. It also changes the title of the document to the Subsurface Energy Storage Act. Additional information can be found &lt;a href="https://novascotia.ca/news/release/?id=20221017007#:~:text=The%20second%20bill%20amends%20several%20pieces%20of%20legislation" target="_blank"&gt;here&lt;/a&gt;. The first effective date of the document that makes the change is November 9, 2022. More information about the change, including any additional effective dates, is available &lt;a href="https://nslegislature.ca/sites/default/files/legc/PDFs/annual%20statutes/2022%20Fall/c055.pdf" target="_blank"&gt;here&lt;/a&gt;.</t>
  </si>
  <si>
    <t>CA-NS-RSNS1989,c154</t>
  </si>
  <si>
    <t>Evidence Act</t>
  </si>
  <si>
    <t>CA-NS-SNS2022,c54</t>
  </si>
  <si>
    <t>An Act to Amend Chapter 393 of the Revised Statutes, 1989, the Regulations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</si>
  <si>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href="https://nslegislature.ca/sites/default/files/legc/PDFs/annual%20statutes/2022%20Fall/c054.pdf" target="_blank"&gt;here&lt;/a&gt;.</t>
  </si>
  <si>
    <t>RRQ,cC-24.2,r34</t>
  </si>
  <si>
    <t>Regulation respecting licences</t>
  </si>
  <si>
    <t>CA-QC-OC1698-2022</t>
  </si>
  <si>
    <t>Regulation amending various regulations setting fees for certain services provided by bodies and institutions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</si>
  <si>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href="https://www2.publicationsduquebec.gouv.qc.ca/dynamicSearch/telecharge.php?type=1&amp;file=106022.pdf" target="_blank"&gt;here&lt;/a&gt;.</t>
  </si>
  <si>
    <t>RRQ,cC-24.2,r29</t>
  </si>
  <si>
    <t>Regulation respecting road vehicle registration</t>
  </si>
  <si>
    <t>SNS2004,c25</t>
  </si>
  <si>
    <t>Electricity Act</t>
  </si>
  <si>
    <t>CA-NS-SNS2022,c44</t>
  </si>
  <si>
    <t>An Act to Amend Chapter 25 of the Acts of 2004, the Electricity Act, Respecting the Hydrogen Innovation Program</t>
  </si>
  <si>
    <t>A change to this document has been announced. The effect of this change is notably to expand the definition of "wholesale customer" to include owners/operators of certain hydrogen facilities, and to create a new hydrogen innovation program where owners and operators of a hydrogen facility may apply to obtain certain benefits. The first effective date of the document that makes the change has not yet been announced. More information about the change, including any additional effective dates, is available &lt;a href="https://nslegislature.ca/sites/default/files/legc/PDFs/annual%20statutes/2022%20Fall/c044.pdf" target="_blank"&gt;here&lt;/a&gt;.</t>
  </si>
  <si>
    <t>CA-NS-RSNS1989,c380</t>
  </si>
  <si>
    <t>Public Utilities Act</t>
  </si>
  <si>
    <t>CA-NS-SNS2022,c52</t>
  </si>
  <si>
    <t>An Act to Amend Chapter 380 of the Revised Statutes, 1989, the Public Utilities Act</t>
  </si>
  <si>
    <t>A change to this document has been announced. The first effective date of the document that makes the change is November 9, 2022. More information about the change, including any additional effective dates, is available &lt;a href="https://nslegislature.ca/sites/default/files/legc/PDFs/annual%20statutes/2022%20Fall/c053.pdf" target="_blank"&gt;here&lt;/a&gt;.</t>
  </si>
  <si>
    <t>CA-PE-PEIRegEC200/12</t>
  </si>
  <si>
    <t>Fees Regulations</t>
  </si>
  <si>
    <t>CA-PE-EC2022-856</t>
  </si>
  <si>
    <t>Fees Regulations Amendment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</si>
  <si>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href="https://www.princeedwardisland.ca/sites/default/files/publications/royal_gazette/rg_issue_47-november_19_2022_complete.pdf" target="_blank"&gt;here&lt;/a&gt;.</t>
  </si>
  <si>
    <t>CA-PE-PEIRegEC41/16</t>
  </si>
  <si>
    <t>Emergency 911 Act General Regulations</t>
  </si>
  <si>
    <t>CA-PE-EC2022-854</t>
  </si>
  <si>
    <t>CA-NS-SNS2000,c30</t>
  </si>
  <si>
    <t>Nova Scotia Business Incorporated Act</t>
  </si>
  <si>
    <t>CA-NS-SNS2022,c37</t>
  </si>
  <si>
    <t>Invest Nova Scotia Act</t>
  </si>
  <si>
    <t>This document has been repealed by the Invest Nova Scotia Act (CA-NS-SNS2022,c37). Subsequent to that announcement, no customers were tracking changes to this document. As a result, no analysis of the change is available in the language that you have selected. More information about the change is available &lt;a href="https://canlii.ca/t/55mlr" target="_blank"&gt;here&lt;/a&gt;.</t>
  </si>
  <si>
    <t>CA-PE-PEIRegEC693/00</t>
  </si>
  <si>
    <t>Subdivision and Development Regulations</t>
  </si>
  <si>
    <t>CA-PE-EC2022-707</t>
  </si>
  <si>
    <t>Subdivision and Development Regulations Amendment</t>
  </si>
  <si>
    <t>CA-PE-PEIRegEC588/10</t>
  </si>
  <si>
    <t>Employment Standards Act General Regulations</t>
  </si>
  <si>
    <t>CA-PE-EC2022-657</t>
  </si>
  <si>
    <t>CA-PE-EC2022-451</t>
  </si>
  <si>
    <t>CA-NS-SNS2022,c38</t>
  </si>
  <si>
    <t>Municipal Finance Corporation Dissolution Act</t>
  </si>
  <si>
    <t>CA-NS-RSNS1989,c217</t>
  </si>
  <si>
    <t>CA-NS-SNS2022,c35</t>
  </si>
  <si>
    <t>Financial Measures (Fall 2022) Act</t>
  </si>
  <si>
    <t>A change to this document has been announced. The first effective date of the document that makes the change is January 1, 2022. More information about the change, including any additional effective dates, is available &lt;a href="https://nslegislature.ca/sites/default/files/legc/PDFs/annual%20statutes/2022%20Fall/c035.pdf" target="_blank"&gt;here&lt;/a&gt;.</t>
  </si>
  <si>
    <t>CA-NS-SNS2022,c48</t>
  </si>
  <si>
    <t>An Act to Amend Chapter 39 of the Acts of 2008, the Halifax Regional Municipality Charter</t>
  </si>
  <si>
    <t>CA-NS-SNS2022,c53</t>
  </si>
  <si>
    <t>An Act to Amend Chapter 380 of the Revised Statutes, 1989, the Public Utilities Act, Respecting Efficiency Nova Scotia</t>
  </si>
  <si>
    <t>RSNL1990,cW-11</t>
  </si>
  <si>
    <t>Workplace Health, Safety and Compensation Act</t>
  </si>
  <si>
    <t>CA-NL-SNL2022,c27</t>
  </si>
  <si>
    <t>An Act to Amend the Workplace Health, Safety and Compensation Act</t>
  </si>
  <si>
    <t>A change to this document has been announced. The effect of this change is notably to expand list of diseases for firefighters presumed to be due to the nature of their employment by adding 8 types of cancer and "injury to the heart that manifests within 24 hours after attendance at an emergency response." The first effective date of the document that makes the change is December 18, 2022. More information about the change, including any additional effective dates, is available &lt;a href="https://www.assembly.nl.ca/HouseBusiness/Bills/ga50session2/bill2212.htm" target="_blank"&gt;here&lt;/a&gt;.</t>
  </si>
  <si>
    <t>CA-NL-SNL2016,cP-41.001</t>
  </si>
  <si>
    <t>Public Procurement Act</t>
  </si>
  <si>
    <t>CA-NL-SNL2022,cP-30.1</t>
  </si>
  <si>
    <t>Provincial Health Authority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</si>
  <si>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href="https://www.assembly.nl.ca/legislation/sr/annualstatutes/2022/P-30.1.chp.htm" target="_blank"&gt;here&lt;/a&gt;.</t>
  </si>
  <si>
    <t>CA-NL-SN2018,cP-37.3</t>
  </si>
  <si>
    <t>Public Health Protection and Promotion Act</t>
  </si>
  <si>
    <t>SNL1999,cM-24</t>
  </si>
  <si>
    <t>Municipalities Act, 1999</t>
  </si>
  <si>
    <t>A change to this document has been announced. The first effective date of the document that makes the change is yet to be announced. More information about the change, including any additional effective dates, is available &lt;a href="https://www.assembly.nl.ca/legislation/sr/annualstatutes/2022/2214.chp.htm" target="_blank"&gt;here&lt;/a&gt;.</t>
  </si>
  <si>
    <t>SNL1995,cP-37.1</t>
  </si>
  <si>
    <t>Health and Community Services Act</t>
  </si>
  <si>
    <t>A change to this document has been announced. The first effective date of the document that makes the change is July 1, 2019. More information about the change, including any additional effective dates, is available &lt;a href="http://canlii.ca/t/967g" target="_blank"&gt;here&lt;/a&gt;.</t>
  </si>
  <si>
    <t>CA-NL-RSNL1990,cE-16</t>
  </si>
  <si>
    <t>CA-NL-SNL2011,cA-4.01</t>
  </si>
  <si>
    <t>Adult Protection Act</t>
  </si>
  <si>
    <t>CA-NL-SNL2021,cA-1.001</t>
  </si>
  <si>
    <t>Accessibility Act</t>
  </si>
  <si>
    <t>CA-NL-SNL2015,cA-1.2</t>
  </si>
  <si>
    <t>Access to Information and Protection of Privacy Act, 2015</t>
  </si>
  <si>
    <t>CA-NL-SNL2018,cE-7.3</t>
  </si>
  <si>
    <t>Emergency Health and Paramedicine Services Act</t>
  </si>
  <si>
    <t>CA-NL-SNL1986,c42,SchD</t>
  </si>
  <si>
    <t>Rules of the Supreme Court, 1986</t>
  </si>
  <si>
    <t>CA-NL-NLR33/22</t>
  </si>
  <si>
    <t>Rules of Supreme Court, 1986 (Amendment)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</si>
  <si>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href="https://www.assembly.nl.ca/legislation/sr/annualregs/2022/nr220077.pdf" target="_blank"&gt;here&lt;/a&gt;.</t>
  </si>
  <si>
    <t>CA-NL-NLR110/98</t>
  </si>
  <si>
    <t>Highway Traffic Driver Regulations, 1999</t>
  </si>
  <si>
    <t>CA-NL-NLR36/22</t>
  </si>
  <si>
    <t>Highway Traffic Driver Regulations, 1999 (Amendment)</t>
  </si>
  <si>
    <t>CA-NL-CNLR987/96</t>
  </si>
  <si>
    <t>Timber Scaling Regulations</t>
  </si>
  <si>
    <t>CA-NL-NLR39/22</t>
  </si>
  <si>
    <t>Timber Scaling Regulations (Amendment)</t>
  </si>
  <si>
    <t>CA-NL-CNLR781/96</t>
  </si>
  <si>
    <t>Labour Standards Regulations</t>
  </si>
  <si>
    <t>CA-NL-NLR38/22</t>
  </si>
  <si>
    <t>Labour Standards Regulations (Amendment)</t>
  </si>
  <si>
    <t>CA-NL-NLR144/04</t>
  </si>
  <si>
    <t>Income and Employment Support Regulations</t>
  </si>
  <si>
    <t>CA-NL-NLR51/22</t>
  </si>
  <si>
    <t>Income and Employment Support Regulations (Amendment)</t>
  </si>
  <si>
    <t>NS.Reg.155/2010</t>
  </si>
  <si>
    <t>Renewable Electricity Regulations</t>
  </si>
  <si>
    <t>CA-NS-NSReg246/2022</t>
  </si>
  <si>
    <t>Renewable Electricity Regulations–amendment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</si>
  <si>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href="https://novascotia.ca/just/regulations/rg2/2022/RG2-2022-11-18.pdf" target="_blank"&gt;here&lt;/a&gt;.</t>
  </si>
  <si>
    <t>CA-NL-NLR55/22</t>
  </si>
  <si>
    <t>Open Seasons Hunting and Trapping Order, 2022-2023</t>
  </si>
  <si>
    <t>CA-NL-NLR66/22</t>
  </si>
  <si>
    <t>Open Seasons Hunting and Trapping Order, 2022-2023 (Amendment)</t>
  </si>
  <si>
    <t>CA-NL-NLR137/03</t>
  </si>
  <si>
    <t>Interim Development Regulations, 2003</t>
  </si>
  <si>
    <t>CA-NL-NLR63/22</t>
  </si>
  <si>
    <t>Interim Development Regulations, 2003 (Amendment)</t>
  </si>
  <si>
    <t>CA-NS-RSNS1989,c425</t>
  </si>
  <si>
    <t>Sherbrooke Restoration Commission Act</t>
  </si>
  <si>
    <t>CA-NS-SNS2022,c51</t>
  </si>
  <si>
    <t>An Act to Amend Chapter 7 of the Acts of 2019, the Nova Scotia Museum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</si>
  <si>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href="https://nslegislature.ca/sites/default/files/legc/PDFs/annual%20statutes/2022%20Fall/c051.pdf" target="_blank"&gt;here&lt;/a&gt;.</t>
  </si>
  <si>
    <t>CA-NS-SNS1990,c8</t>
  </si>
  <si>
    <t>Emergency Management Act</t>
  </si>
  <si>
    <t>CA-NS-SNS2022,c45</t>
  </si>
  <si>
    <t>An Act to Amend Chapter 4 of the Acts of 1992, the Emergency "911" Act, and Chapter 8 of the Acts of 1990, the Emergency Management Act</t>
  </si>
  <si>
    <t>A change to this document has been announced. The first effective date of the document that makes the change has not yet been announced. More information about the change, including any additional effective dates, is available &lt;a href="https://nslegislature.ca/sites/default/files/legc/PDFs/annual%20statutes/2022%20Fall/c045.pdf" target="_blank"&gt;here&lt;/a&gt;.</t>
  </si>
  <si>
    <t>CA-NS-SNS1992,c4</t>
  </si>
  <si>
    <t>Emergency " 911"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</si>
  <si>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href="https://nslegislature.ca/sites/default/files/legc/PDFs/annual%20statutes/2022%20Fall/c045.pdf" target="_blank"&gt;here&lt;/a&gt;.</t>
  </si>
  <si>
    <t>CA-NT-Prop-2022-11-08</t>
  </si>
  <si>
    <t>Climate Change and You: Assessing Climate Change Risks and Opportunities in the NWT</t>
  </si>
  <si>
    <t>CA-BC-Prop-2022-11-17</t>
  </si>
  <si>
    <t>Consultation on proposed B.C. Exposure Limits based on the new or revised 2019 and 2020 ACGIH TLVs for selected chemical substances</t>
  </si>
  <si>
    <t>CCSMcE125</t>
  </si>
  <si>
    <t>The Environment Act</t>
  </si>
  <si>
    <t>CA-MB-SM2022,c40</t>
  </si>
  <si>
    <t>The Environment Amendment Act (Pesticide Restrictions)</t>
  </si>
  <si>
    <t>A change to this document has been announced. The effect of this change is notably to remove the prohibition on the application of certain pesticides to lawns, exempt the sale of certain pesticides from provincial regulations, and expand the list of premises where the use of certain pesticides is prohibited to include municipal playgrounds, picnic areas, dog parks and provincial parks. The first effective date of the document that makes the change is November 3, 2022. More information about the change, including any additional effective dates, is available &lt;a href="https://web2.gov.mb.ca/laws/statutes/2022/c04022e.php" target="_blank"&gt;here&lt;/a&gt;.</t>
  </si>
  <si>
    <t>CA-NL-RSNL1990,cL-2</t>
  </si>
  <si>
    <t>CA-NL-SNL2022,cP-3.02</t>
  </si>
  <si>
    <t>Pay Equity and Pay Transparency Act</t>
  </si>
  <si>
    <t>A change to this document has been announced. The effect of the change is notably to entitle employees to take an unpaid emergency leave for matters related to a communicable disease. The first effective date of the document that makes the change is March 14, 2020. More information about the change, including any additional effective dates, is available &lt;a href="https://www.assembly.nl.ca/legislation/sr/annualstatutes/2020/C-37.03.chp.htm" target="_blank"&gt;here&lt;/a&gt;.</t>
  </si>
  <si>
    <t>CA-NL-RSNL1990,cL-1</t>
  </si>
  <si>
    <t>Labour Relations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</si>
  <si>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href="https://www.assembly.nl.ca/HouseBusiness/Bills/ga50session2/bill2203.htm" target="_blank"&gt;here&lt;/a&gt;.</t>
  </si>
  <si>
    <t>NBReg91-191</t>
  </si>
  <si>
    <t>General Regulation</t>
  </si>
  <si>
    <t>CA-NB-NBReg2022-76</t>
  </si>
  <si>
    <t>General Regulation 2022-11-10 Amendments</t>
  </si>
  <si>
    <t>A change to this document has been announced. The effect of this change is to incorporate by reference updated versions of relevant industrial standards concerning fall protection equipment. The first effective date of the document that makes the change is November 10, 2022. More information about the change, including any additional effective dates, is available &lt;a href="https://www2.gnb.ca/content/dam/gnb/Departments/ag-pg/PDF/RegulationsReglements/2022/2022-76.pdf" target="_blank"&gt;here&lt;/a&gt;.</t>
  </si>
  <si>
    <t>Man.Reg.340/87R</t>
  </si>
  <si>
    <t>Lands Withdrawn from Prospecting Orders</t>
  </si>
  <si>
    <t>CA-MB-ManReg133/2022</t>
  </si>
  <si>
    <t>Lands Withdrawn from Prospecting Orders, amendment</t>
  </si>
  <si>
    <t>A change to this document has been announced. The first effective date of the document that makes the change is November 10, 2022. More information about the change, including any additional effective dates, is available &lt;a href="https://web2.gov.mb.ca/laws/regs/annual/2022/133.pdf" target="_blank"&gt;here&lt;/a&gt;.</t>
  </si>
  <si>
    <t>Alta.Reg.122/2009</t>
  </si>
  <si>
    <t>Vehicle Equipment Regulation</t>
  </si>
  <si>
    <t>AltaReg187/2011</t>
  </si>
  <si>
    <t>Public Lands Administration Regulation</t>
  </si>
  <si>
    <t>A change to this document has been announced. The effect of this change is notably to (1) exempt holders of a resident fur management licence issued in respect of the vacant public land from certain rules concerning proposed entry to vacant public lands or trails, and (2) remove the exception to rules prohibiting the operation of vehicles on certain public lands for those uses authorized for specific public land use zones. The first effective date of the document that makes the change is July 29, 2022. More information about the change, including any additional effective dates, is available &lt;a href="https://www.qp.alberta.ca/documents/gazette/2022/pdf/12_Jun30_Part2.pdf" target="_blank"&gt;here&lt;/a&gt; beginning on page 607 of the Gazette.</t>
  </si>
  <si>
    <t>Alta.Reg.63/2017</t>
  </si>
  <si>
    <t>Procedures Regulation</t>
  </si>
  <si>
    <t>A change to this document has been announced. The first effective date of the document that makes the change is September 30, 2022. More information about the change, including any additional effective dates, is available &lt;a href="https://kings-printer.alberta.ca/documents/gazette/2022/pdf/18_Sep30_Part2.pdf" target="_blank"&gt;here&lt;/a&gt;.</t>
  </si>
  <si>
    <t>Alta.Reg.184/2001</t>
  </si>
  <si>
    <t>Pest and Nuisance Control Regulation</t>
  </si>
  <si>
    <t>A change to this document has been announced. The effect of the changes is to remove the Fusarium head blight from the list of animals, birds, insects, plants and diseases declared to be pests throughout Alberta. The first effective date of the document that makes the change is June 1, 2020. More information about the change, including any additional effective dates, is available &lt;a href="https://www.qp.alberta.ca/documents/gazette/2020/pdf/12_Jun30_Part2.pdf" target="_blank"&gt;here&lt;/a&gt;.</t>
  </si>
  <si>
    <t>AltaReg262/1997</t>
  </si>
  <si>
    <t>Mines and Minerals Administration Regulation</t>
  </si>
  <si>
    <t>CA-AB-AR84/2022</t>
  </si>
  <si>
    <t>Matters Related to Subdivision and Development Regulation</t>
  </si>
  <si>
    <t>CA-AB-AR116/2022</t>
  </si>
  <si>
    <t>Geothermal Resource Development Rules</t>
  </si>
  <si>
    <t>Alta.Reg.315/2002</t>
  </si>
  <si>
    <t>Commercial Vehicle Dimension and Weight Regulation</t>
  </si>
  <si>
    <t>A change to this document has been announced. The first effective date of the document that makes the change is November 30, 2022. More information about the change, including any additional effective dates, is available &lt;a href="https://www.qp.alberta.ca/documents/gazette/2022/pdf/12_Jun30_Part2.pdf" target="_blank"&gt;here&lt;/a&gt; beginning on page 645 of the Gazette.</t>
  </si>
  <si>
    <t>CA-AB-AltaReg39/2018</t>
  </si>
  <si>
    <t>City of Edmonton Charter, 2018 Regulation</t>
  </si>
  <si>
    <t>A change to this document has been announced. The first effective date of the document that makes the change is September 1, 2019. More information about the change, including any additional effective dates, is available &lt;a href="http://www.qp.alberta.ca/documents/gazette/2019/pdf/24_Dec31_Part2.pdf" target="_blank"&gt;here&lt;/a&gt;.</t>
  </si>
  <si>
    <t>CA-NL-RSNL1990,cF-8</t>
  </si>
  <si>
    <t>Financial Administration Act</t>
  </si>
  <si>
    <t>CA-NL-SNL2022,cF-27</t>
  </si>
  <si>
    <t>Future Fund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</si>
  <si>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href="https://www.assembly.nl.ca/HouseBusiness/Bills/ga50session2/bill2205.htm" target="_blank"&gt;here&lt;/a&gt;.</t>
  </si>
  <si>
    <t>RSNL1990,cW-8</t>
  </si>
  <si>
    <t>Wild Life Act</t>
  </si>
  <si>
    <t>CA-NL-SNL2022,c26</t>
  </si>
  <si>
    <t>An Act to Amend the Wild Life Act</t>
  </si>
  <si>
    <t>A change to this document has been announced. The first effective date of the document has not yet been announced. More information about the change, including any additional effective dates, is available &lt;a href="https://www.assembly.nl.ca/HouseBusiness/Bills/ga50session2/bill2210.htm" target="_blank"&gt;here&lt;/a&gt;.</t>
  </si>
  <si>
    <t>RSNL1990,cH-3</t>
  </si>
  <si>
    <t>Highway Traffic Act</t>
  </si>
  <si>
    <t>CA-NL-SNL2022,c25</t>
  </si>
  <si>
    <t>An Act to Amend the Highway Traffic Act</t>
  </si>
  <si>
    <t>CA-NL-SNL2009,cR-15.01</t>
  </si>
  <si>
    <t>Revenue Administration Act</t>
  </si>
  <si>
    <t>CA-NL-SNL2022,c22</t>
  </si>
  <si>
    <t>An Act to Amend the Revenue Administration Act</t>
  </si>
  <si>
    <t>A change to this document has been announced. The first effective date of the document that makes the change is November 9, 2022. More information about the change, including any additional effective dates, is available &lt;a href="https://www.assembly.nl.ca/HouseBusiness/Bills/ga50session2/bill2216.htm" target="_blank"&gt;here&lt;/a&gt;.</t>
  </si>
  <si>
    <t>CA-NL-SNL2022,c30</t>
  </si>
  <si>
    <t>An Act to Amend the Revenue Administration Act No. 2</t>
  </si>
  <si>
    <t>CA-NL-SNL2019,cR-2.1</t>
  </si>
  <si>
    <t>Real Estate Trading Act, 2019</t>
  </si>
  <si>
    <t>CA-NL-SNL2022,c29</t>
  </si>
  <si>
    <t>An Act to Amend the Real Estate Trading Act, 2019</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</si>
  <si>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href="https://www.assembly.nl.ca/HouseBusiness/Bills/ga50session2/bill2214.htm" target="_blank"&gt;here&lt;/a&gt;.</t>
  </si>
  <si>
    <t>CA-NL-SNL2009,cC-31.1</t>
  </si>
  <si>
    <t>Consumer Protection and Business Practices Act</t>
  </si>
  <si>
    <t>CA-NL-SNL2022,c28</t>
  </si>
  <si>
    <t>An Act to Amend the Consumer Protection and Business Practices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</si>
  <si>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href="https://www.assembly.nl.ca/HouseBusiness/Bills/ga50session2/bill2213.htm" target="_blank"&gt;here&lt;/a&gt;.</t>
  </si>
  <si>
    <t>NLR.5/12</t>
  </si>
  <si>
    <t>Occupational Health and Safety Regulations, 2012</t>
  </si>
  <si>
    <t>A change to this document has been announced. This change is a part of a suite of amendments that replace references to the Workplace Health, Safety and Compensation Act (RSNL1990,cW-11) with the newly-enacted Workplace Health, Safety and Compensation Act, 2022 (CA-NL-SNL2022,cW-11.1). The first effective date of the document that makes the change is September 1, 2023. More information about the change, including any additional effective dates, is available &lt;a href="https://www.assembly.nl.ca/HouseBusiness/Bills/ga50session2/bill2218.htm" target="_blank"&gt;here&lt;/a&gt;.</t>
  </si>
  <si>
    <t>CNLR.1148/96</t>
  </si>
  <si>
    <t>Occupational Health and Safety First Aid Regulations</t>
  </si>
  <si>
    <t>RSNL1990,cO-3</t>
  </si>
  <si>
    <t>Occupational Health and Safety Act</t>
  </si>
  <si>
    <t>CA-NL-RSNL1990,cE-10</t>
  </si>
  <si>
    <t>Employers' Liability Act</t>
  </si>
  <si>
    <t>RSNL1990,cC-2</t>
  </si>
  <si>
    <t>Canada-Newfoundland and Labrador Atlantic Accord Implementation Newfoundland and Labrador Act</t>
  </si>
  <si>
    <t>CA-NL-SNL2007,cH-17</t>
  </si>
  <si>
    <t>Hydro Corporation Act, 2007</t>
  </si>
  <si>
    <t>CA-NL-SNL2007,cE-11.01</t>
  </si>
  <si>
    <t>Energy Corporation Act</t>
  </si>
  <si>
    <t>CA-NL-RSNL1990,cA-22</t>
  </si>
  <si>
    <t>Automobile Insurance Act</t>
  </si>
  <si>
    <t>CA-MB-CCSMcH60</t>
  </si>
  <si>
    <t>The Highway Traffic Act</t>
  </si>
  <si>
    <t>CA-MB-SM2022,c39</t>
  </si>
  <si>
    <t>The Drivers and Vehicles Amendment, Highway Traffic Amendment and Manitoba Public Insurance Corporation Amendment Act</t>
  </si>
  <si>
    <t>A change to this document has been announced. The first effective date of the document that makes the change is November 3, 2022. More information about the change, including any additional effective dates, is available &lt;a href="https://web2.gov.mb.ca/laws/statutes/2022/c03922e.php" target="_blank"&gt;here&lt;/a&gt;.</t>
  </si>
  <si>
    <t>CCSMcP210</t>
  </si>
  <si>
    <t>The Public Health Act</t>
  </si>
  <si>
    <t>CA-MB-CCSMcR30.2</t>
  </si>
  <si>
    <t>The Real Property Valuation Board Act</t>
  </si>
  <si>
    <t>CCSMcH190</t>
  </si>
  <si>
    <t>The Manitoba Hydro Act</t>
  </si>
  <si>
    <t>CA-MB-SM2022,c45</t>
  </si>
  <si>
    <t>The Budget Implementation and Tax Statutes Amendment Act, 2022</t>
  </si>
  <si>
    <t>A change to this document has been announced. The first effective date of the document that makes the change is November 3, 2022. More information about the change, including any additional effective dates, is available &lt;a href="https://web2.gov.mb.ca/laws/statutes/2022/c04222e.php" target="_blank"&gt;here&lt;/a&gt;.</t>
  </si>
  <si>
    <t>CA-MB-SM2022,c42</t>
  </si>
  <si>
    <t>The Manitoba Hydro Amendment and Public Utilities Board Amendment Act</t>
  </si>
  <si>
    <t>CCSMcR15</t>
  </si>
  <si>
    <t>The Provincial Railways Act</t>
  </si>
  <si>
    <t>CA-MB-SM2022,c48</t>
  </si>
  <si>
    <t>The Engineering and Geoscientific Professions Amendment Act</t>
  </si>
  <si>
    <t>A change to this document has been announced. The first effective date of the document that makes the change is March 1, 2019. More information about the change, including any additional effective dates, is available at http://web2.gov.mb.ca/laws/statutes/2018/c01018e.php.</t>
  </si>
  <si>
    <t>CCSMcG110</t>
  </si>
  <si>
    <t>The Groundwater and Water Well Act</t>
  </si>
  <si>
    <t>CCSMcE120</t>
  </si>
  <si>
    <t>The Engineering and Geoscientific Professions Act</t>
  </si>
  <si>
    <t>A change to this document has been announced. The first effective date of the document that makes the change has not yet been announced. More information about the change, including any additional effective dates, is available &lt;a href="https://web2.gov.mb.ca/laws/statutes/2022/c04822e.php" target="_blank"&gt;here&lt;/a&gt;.</t>
  </si>
  <si>
    <t>CA-NL-NLR81/22</t>
  </si>
  <si>
    <t>Cost of Living Relief Regulations</t>
  </si>
  <si>
    <t>CA-QC-MO2022-10</t>
  </si>
  <si>
    <t>Suspension of the prohibition to transport dangerous substances with respect to double train tank trucks of more than 25 m but not more than 27.5 m in overall length</t>
  </si>
  <si>
    <t>CA-QC-Vol.154,No.45B(3829B)</t>
  </si>
  <si>
    <t>Mandatory reporting of certain emissions of contaminants into the atmosphere—Amendment</t>
  </si>
  <si>
    <t>CA-Vol.156,No.46(5460)</t>
  </si>
  <si>
    <t>Nuclear Security Regulations, 2023</t>
  </si>
  <si>
    <t>CNLR.1025/96</t>
  </si>
  <si>
    <t>Workplace Health, Safety and Compensation Regulations</t>
  </si>
  <si>
    <t>CA-NL-NLR80/22</t>
  </si>
  <si>
    <t>Workplace Health, Safety and Compensation Regulations (Amendment)</t>
  </si>
  <si>
    <t>A change to this document has been announced. The first effective date of the document that makes the change is December 18, 2019. More information about the change, including any additional effective dates, is available &lt;a href="https://www.assembly.nl.ca/legislation/sr/annualregs/2022/nr220080.htm" target="_blank"&gt;here&lt;/a&gt;.</t>
  </si>
  <si>
    <t>WAG-AB</t>
  </si>
  <si>
    <t>Working alone safely: A guide for employers and employees</t>
  </si>
  <si>
    <t>CA-AB-WAG-AB(2022-08-26)</t>
  </si>
  <si>
    <t>Working alone safely: A guide for employers and employees 2022-08-26 Amendments</t>
  </si>
  <si>
    <t>This document is being repealed on August 26, 2022. More information about the change is available &lt;a href="https://open.alberta.ca/publications/2485490" target="_blank"&gt;here&lt;/a&gt;.</t>
  </si>
  <si>
    <t>CA-QC-MO2022-033</t>
  </si>
  <si>
    <t>Ordering of measures to protect the health of the population amid the COVID-19 pandemic situation</t>
  </si>
  <si>
    <t>CA-QC-OC1718-2022</t>
  </si>
  <si>
    <t>Easing of certain measures set in place to protect the health of the population amid the COVID-19 pandemic situation</t>
  </si>
  <si>
    <t>A change to this document has been announced. The effect of this change is notably to remove certain COVID-19 pandemic-related supporting measures applicable to specified health and health services providers. These include hiring and compensation requirements and restrictions, as well as workers' health protection requirements such as mandatory vaccination, COVID-19 screening tests, proof of vaccination, and restriction to access certain facilities. The first effective date of the document that makes the change is November 9, 2022. More information about the change, including any additional effective dates, is available &lt;a href="http://www2.publicationsduquebec.gouv.qc.ca/dynamicSearch/telecharge.php?type=1&amp;file=106034.pdf" target="_blank"&gt;here&lt;/a&gt;.</t>
  </si>
  <si>
    <t>COP-WSUHQG</t>
  </si>
  <si>
    <t>Code of Practice for Waterworks Systems using High Quality Groundwater</t>
  </si>
  <si>
    <t>CA-AB-COP-WSUHQG</t>
  </si>
  <si>
    <t>Code of Practice for Waterworks Systems Using High Quality Groundwater</t>
  </si>
  <si>
    <t>This Code of Practice (COP) is being replaced by a new Code of Practice for Waterworks Systems Using High Quality Groundwater (CA-AB-COP-WSUHQG), effective 29 June 2022. The new COP primarily covers the same scope as the superseded document, with revisions focused on improving clarity, including—&lt;ul&gt;&lt;li&gt;updating the definition of "high quality groundwater" to exclude situations where naturally occurring fluoride concentrations in groundwater are less than or equal to 2.4 mg/L;&lt;li&gt;updating certain references, such as requiring the registration holder to complete a written operating plan for managing the operation of the waterworks by the date specified in a notice issued in accordance with the requirements of &lt;a href="https://nimonikapp.com/legislations/4497" target="_blank"&gt;the Potable Water Regulation (Alta.Reg.277/2003)&lt;/a&gt; rather than &lt;a href="https://nimonikapp.com/legislations/1150" target="_blank"&gt;the Environmental Protection and Enhancement (Miscellaneous) Regulation (Alta.Reg.118/1993)&lt;/a&gt;;&lt;li&gt;adding the requirement for the registration holder to complete the drinking water safety plan for the water plant system within one year of receipt of registration for a new waterworks;&lt;li&gt;updating the portable water quality limit for naturally occurring fluoride from "less than or equal to 2.4 mg/L" to "less than or equal to 1.5 mg/L";&lt;li&gt;eliminating certain exemptions from limits and monitoring requirements; and&lt;li&gt;adding certain exceptions to the requirement to not exceed the specified dosage when adding any treatment chemicals to a water plant system.&lt;/ul&gt;&lt;p&gt;More information about the change is available &lt;a href="https://www.kings-printer.alberta.ca/documents/Codes/GROUNDWATER3.pdf" target="_blank"&gt;here&lt;/a&gt;.&lt;/p&gt;</t>
  </si>
  <si>
    <t>CA-ON-Bill23(43-1)</t>
  </si>
  <si>
    <t>Bill 23, More Homes Built Faster Act, 2022</t>
  </si>
  <si>
    <t>CA-SOR/2022-217</t>
  </si>
  <si>
    <t>Critical Habitat of the Threehorn Wartyback (Obliquaria reflexa) Order</t>
  </si>
  <si>
    <t>CA-SOR/2022-216</t>
  </si>
  <si>
    <t>Critical Habitat of the Fawnsfoot (Truncilla donaciformis) Order</t>
  </si>
  <si>
    <t>CA-SOR/2022-215</t>
  </si>
  <si>
    <t>Critical Habitat of the Lilliput (Toxolasma parvum) Order</t>
  </si>
  <si>
    <t>CA-Vol.156,No.45(5413)</t>
  </si>
  <si>
    <t>Notice of intent — Consultation by Environment and Climate Change Canada on the assessment of the status of the Monarch and two subspecies of the Western Bumble Bee (mckayi, occidentalis)</t>
  </si>
  <si>
    <t>CA-SOR/2022-214</t>
  </si>
  <si>
    <t>CRC,c296-en</t>
  </si>
  <si>
    <t>Health of Animals Regulations</t>
  </si>
  <si>
    <t>CA-SOR/2022-218</t>
  </si>
  <si>
    <t>Regulations Amending the Health of Animals Regulations (Hatchery)</t>
  </si>
  <si>
    <t xml:space="preserve"> A change to this document has been announced. The effect of this change, according to the government, is notably to incorporate by reference the &lt;a href="https://www.nfacc.ca/poultry-code-of-practice" target="_blank"&gt;Code of Practice for the Care and Handling of Hatching Eggs, Breeders, Chickens and Turkeys&lt;/a&gt; (the Code) and the &lt;a href="https://inspection.canada.ca/animal-health/terrestrial-animals/hatcheries/canadian-hatchery-and-supply-flock-testing-standar/eng/1583865875096/1583865875440" target="_blank"&gt;Canadian Hatchery and Supply Flock Testing Standards&lt;/a&gt; (the Testing Standard). The change also requires hatchery operators to develop a preventive control plan (PCP) that will:&lt;p&gt;&lt;li&gt; "identify the risks and describe the mitigation procedures applied to prevent the introduction and spread of pathogens or contamination in animals, and thereafter the food supply";&lt;li&gt; "detail measures that will be implemented by the hatchery operator to meet the requirement to maintain a licence to operate"; and&lt;li&gt; "be used by management for access to premises, employee training in biosecurity measures, maintenance of equipment, facilities and related materials, cleaning and disinfection, hatchery debris and garbage disposal, neonatal feed (e.g. hydration gels), vaccine, and water management, and pest control in order to mitigate the risk of introduction and spread of biological hazards."&lt;/p&gt;The change also requires them to:&lt;p&gt;&lt;li&gt; "[maintain] an existing licence, contingent on developing, implementing and maintaining (i.e. annual review) a PCP";&lt;li&gt; "[meet] all applicable requirements listed in select sections of the Code (hatcheries, housing and environment, feed and water, personnel knowledge and skills, euthanasia and flock health management)";&lt;li&gt; "[perform] regular sampling and testing for sanitation and diseases as outlined in the Testing Standard";&lt;li&gt; "[source] only eggs and chicks from supply flocks that meet the sampling and testing requirements detailed in the Testing Standard"; and&lt;li&gt; "[require] their supply flock operators to develop, implement and maintain a PCP [and] to meet all requirements (hatcheries, housing and environment, feed and water, personnel knowledge and skills, euthanasia, flock health management) listed in selected sections of the Code."&lt;/p&gt; The first effective date of the document that makes the change is October 20, 2022. More information about the change, including any additional effective dates, is available &lt;a href="https://canadagazetteducanada.gc.ca/rp-pr/p2/2022/2022-11-09/html/sor-dors218-eng.html" target="_blank"&gt;here&lt;/a&gt;.</t>
  </si>
  <si>
    <t>CA-SOR/2002-227</t>
  </si>
  <si>
    <t>Immigration and Refugee Protection Regulations</t>
  </si>
  <si>
    <t>CA-SOR/2022-220</t>
  </si>
  <si>
    <t>Regulations Amending the Immigration and Refugee Protection Regulations (National Occupational Classification 2021)</t>
  </si>
  <si>
    <t>A change to this document has been announced. The first effective date of the document that makes the change is November 16, 2022. More information about the change, including any additional effective dates, is available &lt;a href="https://canadagazetteducanada.gc.ca/rp-pr/p2/2022/2022-11-09/html/sor-dors220-eng.html" target="_blank"&gt;here&lt;/a&gt;.</t>
  </si>
  <si>
    <t>SOR/98-206</t>
  </si>
  <si>
    <t>Authorizations to Transport Restricted Firearms and Prohibited Firearms Regulations</t>
  </si>
  <si>
    <t>CA-SOR/2022-219</t>
  </si>
  <si>
    <t>Regulations Amending Certain Regulations Made Under the Firearms Act</t>
  </si>
  <si>
    <t>A change to this document has been announced. The first effective date of the document that makes the change is October 20, 2022. More information about the change, including any additional effective dates, is available &lt;a href="https://canadagazetteducanada.gc.ca/rp-pr/p2/2022/2022-11-09/html/sor-dors219-eng.html" target="_blank"&gt;here&lt;/a&gt;.</t>
  </si>
  <si>
    <t>SOR/98-202</t>
  </si>
  <si>
    <t>Conditions of Transferring Firearms and Other Weapons Regulations</t>
  </si>
  <si>
    <t>A change to this document has been announced. The first effective date of the document that makes the change is October 21, 2022. More information about the change, including any additional effective dates, is available &lt;a href="https://canadagazetteducanada.gc.ca/rp-pr/p2/2022/2022-11-09/html/sor-dors219-eng.html" target="_blank"&gt;here&lt;/a&gt;.</t>
  </si>
  <si>
    <t>CA-SOR/2022-223</t>
  </si>
  <si>
    <t>SOR/96-313</t>
  </si>
  <si>
    <t>Contraventions Regulations</t>
  </si>
  <si>
    <t>CA-SOR/2022-221</t>
  </si>
  <si>
    <t>Regulations Amending the Contraventions Regulations</t>
  </si>
  <si>
    <t>A change to this document has been announced. The effect of this change is notably to (1) clarify that operating an electrically propelled vessel with an aggregate maximum power greater than 7.5 kW where prohibited is an offence with applicable fines, and (2) increase the fine amount for certain offences of the Railway Safety Act (RSC1985,c32(4thSupp)). The first effective date of the document that makes the change is June 10, 2021. More information about the change, including any additional effective dates, is available &lt;a href="https://canadagazetteducanada.gc.ca/rp-pr/p2/2021/2021-06-23/html/sor-dors132-eng.html" target="_blank"&gt;here&lt;/a&gt;.</t>
  </si>
  <si>
    <t>CA-SOR/2022-224</t>
  </si>
  <si>
    <t>CA-SOR/2015-181</t>
  </si>
  <si>
    <t>Secure Air Travel Regulations</t>
  </si>
  <si>
    <t>CA-SOR/2022-225</t>
  </si>
  <si>
    <t>Regulations Amending the Secure Air Travel Regulations and the Designated Provisions Regulations</t>
  </si>
  <si>
    <t>A change to this document has been announced. The first effective date of the document that makes the change is October 28, 2022. More information about the change, including any additional effective dates, is available &lt;a href="https://canadagazetteducanada.gc.ca/rp-pr/p2/2022/2022-11-09/html/sor-dors225-eng.html" target="_blank"&gt;here&lt;/a&gt;.</t>
  </si>
  <si>
    <t>CA-ON-ERO-019-6218</t>
  </si>
  <si>
    <t>Proposed redesignation of land under the Oak Ridges Moraine Conservation Plan</t>
  </si>
  <si>
    <t>CA-Vol.156,No.45(5426)</t>
  </si>
  <si>
    <t>Description of Western Rattlesnake, of Great Basin Gophersnake and of Desert Nightsnake critical habitat in the Vaseux-Bighorn National Wildlife Area</t>
  </si>
  <si>
    <t>CA-Vol.156,No.45(5424)</t>
  </si>
  <si>
    <t>Interim Order Respecting the Summerside Compulsory Pilotage Area</t>
  </si>
  <si>
    <t>CA-Vol.156,No.45(5410)</t>
  </si>
  <si>
    <t>Ministerial Condition No. 21184</t>
  </si>
  <si>
    <t>CA-Vol.156,No.45(5421)</t>
  </si>
  <si>
    <t>Interim Order Respecting the Placentia Bay Compulsory Pilotage Area, No. 2</t>
  </si>
  <si>
    <t>O.Reg.73/94</t>
  </si>
  <si>
    <t>General - Environmental Bill of Rights</t>
  </si>
  <si>
    <t>CA-ON-OReg518/22</t>
  </si>
  <si>
    <t>Amending O. Reg. 73/94 (General)</t>
  </si>
  <si>
    <t>O.Reg.681/94</t>
  </si>
  <si>
    <t>Classification of Proposals for Instruments</t>
  </si>
  <si>
    <t>CA-ON-OReg519/22</t>
  </si>
  <si>
    <t>Amending O. Reg. 681/94 (Classification of Proposals for Instruments)</t>
  </si>
  <si>
    <t>A change to this document has been announced. The first effective date of the document that makes the change is November 7, 2022. More information about the change, including any additional effective dates, is available &lt;a href="https://www.ontario.ca/laws/regulation/r22519" target="_blank"&gt;here&lt;/a&gt;.</t>
  </si>
  <si>
    <t>CA-PE-PEIRegEC666/12</t>
  </si>
  <si>
    <t>Apprenticeship and Trades Qualification Act General Regulations</t>
  </si>
  <si>
    <t>CA-PE-EC2022-809</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</si>
  <si>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href="https://www.princeedwardisland.ca/sites/default/files/publications/royal_gazette/rg_issue_45-november_5_2022_complete.pdf" target="_blank"&gt;here&lt;/a&gt;.</t>
  </si>
  <si>
    <t>SS2010,cN-5.2</t>
  </si>
  <si>
    <t>The Northern Municipalities Act, 2010</t>
  </si>
  <si>
    <t>CA-SK-Vol.118,No.44(3308)</t>
  </si>
  <si>
    <t>Proclamation of The Miscellaneous Municipal Statutes Amendment Act, 2020, s. 2-50, 3-53, 4-44</t>
  </si>
  <si>
    <t>A change to this document has been announced. The first effective date of the document that makes the change is May 18, 2022. More information about the change, including any additional effective dates, is available &lt;a href="https://publications.saskatchewan.ca/api/v1/products/118160/formats/135829/download" target="_blank"&gt;here&lt;/a&gt;.</t>
  </si>
  <si>
    <t>SS2005,cM-36.1</t>
  </si>
  <si>
    <t>Municipalities Act</t>
  </si>
  <si>
    <t>CA-ON-ERO-019-6211</t>
  </si>
  <si>
    <t>Proposed Changes to Sewage Systems and Energy Efficiency for the Next Edition of Ontario’s Building Code</t>
  </si>
  <si>
    <t>BC-BA</t>
  </si>
  <si>
    <t>Bylaws of the Association of Professional Engineers and Geoscientists of B.C.</t>
  </si>
  <si>
    <t>CA-BC-BA(2022-09-19)</t>
  </si>
  <si>
    <t>Bylaws of the Association of Professional Engineers and Geoscientists of B.C. 2022-09-19 Amendments</t>
  </si>
  <si>
    <t>A change to this document has been announced. The first effective date of the document that makes the change is February 22, 2022. No official notification of the change is readily available from the governmental or other authority that announced the change.</t>
  </si>
  <si>
    <t>BCCGA.BestPractices</t>
  </si>
  <si>
    <t>CCGA Underground Infrastructure Damage Prevention - Best Practices</t>
  </si>
  <si>
    <t>CA-BC-BCCGA.BestPractices(2022-03-01)</t>
  </si>
  <si>
    <t>CCGA Underground Infrastructure Damage Prevention - Best Practices 2022-03-01 Amendments</t>
  </si>
  <si>
    <t>A change to this document has been announced. The effect of the change, according to its contents, is notably to—&lt;ul&gt;&lt;li&gt;update the requirements for private facility awareness to require that the excavator be responsible for ensuring that all buried facilities, both publicly and privately owned, in and near the work area have been located and to provide for certain marking and identification activities that might be performed by the excavator or its locator;&lt;li&gt;update the locate verification requirements for excavators "to ensure that all locates have been received and a complete locate package (including the Notification Service’s Locate Request Confirmation) is on site by cross referencing the Notification Service’s Locate Request Confirmation to ensure a response was received from all Facility Owners listed";&lt;li&gt;clarify the joint responsibilities of the excavator, the facility owner and the locator, including the responsibility of the excavator for protecting and preserving the facility location markings, and the responsibility of the facility owner and locator for supporting the excavator;&lt;li&gt;update the minimum training guidelines for locator by removing the specified "Workplace Safety Insurance Act and Occupational Health &amp; Safety Act requirements" and replacing it with a reference to Section 6, listing federal and provincial regulations; and&lt;li&gt;add the definition of "Hand Digging" as "any movement of earth using a hand shovel".&lt;/ul&gt;&lt;p&gt;The first effective date of the document that makes the change is March 1, 2022. No official notification of the change is readily available from the governmental or other authority that announced the change.&lt;/p&gt;</t>
  </si>
  <si>
    <t>CA-NS-NSReg243/2022</t>
  </si>
  <si>
    <t>Glazier Trade Regulations</t>
  </si>
  <si>
    <t>CA-NS-NSReg237/2022</t>
  </si>
  <si>
    <t>Monks Head Provincial Park Designation</t>
  </si>
  <si>
    <t>CA-NS-NSReg236/2022</t>
  </si>
  <si>
    <t>Dunns Beach Provincial Park Designation</t>
  </si>
  <si>
    <t>CA-NS-Bill208(64-1)</t>
  </si>
  <si>
    <t>Bill 208 - Environment Act (amended)</t>
  </si>
  <si>
    <t>CA-YT-Prop-2022-10-25</t>
  </si>
  <si>
    <t>Extended producer responsibility (EPR) in the Yukon</t>
  </si>
  <si>
    <t>CA-MB-Prop-2022-10-20</t>
  </si>
  <si>
    <t>Manitoba Government To Accelerate Adoption Of 2020 Standards For National Building, Plumbing, Fire And Energy Codes</t>
  </si>
  <si>
    <t>CA-BC-Bill41(42-3)</t>
  </si>
  <si>
    <t>Bill 41 - Workers' Compensation Amendment Act (No. 2), 2022</t>
  </si>
  <si>
    <t>CA-ON-ERO-019-2927</t>
  </si>
  <si>
    <t>Proposed updates to the regulation of development for the protection of people and property from natural hazards in Ontario</t>
  </si>
  <si>
    <t>CA-ON-ERO-019-6161</t>
  </si>
  <si>
    <t>Conserving Ontario’s Natural Heritage</t>
  </si>
  <si>
    <t>CA-NL-NLR76/22</t>
  </si>
  <si>
    <t>CA-NL-NLR77/22</t>
  </si>
  <si>
    <t>RRScH-3.01.Reg8</t>
  </si>
  <si>
    <t>The Vehicle Weight and Dimension Regulations, 2010</t>
  </si>
  <si>
    <t>CA-SK-SR81/2022</t>
  </si>
  <si>
    <t>The Vehicle Weight and Dimension Amendment Regulations, 2022</t>
  </si>
  <si>
    <t>A change to this document has been announced. The first effective date of the document that makes the change is October 20, 2022. More information about the change, including any additional effective dates, is available &lt;a href="https://publications.saskatchewan.ca/api/v1/products/119389/formats/137552/download" target="_blank"&gt;here&lt;/a&gt;.</t>
  </si>
  <si>
    <t>RSY2002,c176</t>
  </si>
  <si>
    <t>Public Health and Safety Act</t>
  </si>
  <si>
    <t>CA-YT-SY2022,c12</t>
  </si>
  <si>
    <t>Midwifery Integration Amendments Act (2022)</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</si>
  <si>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href="https://laws.yukon.ca/cms/images/LEGISLATION/acts/2022-0012.pdf" target="_blank"&gt;here&lt;/a&gt;.</t>
  </si>
  <si>
    <t>CA-YT-RSY2002,c72</t>
  </si>
  <si>
    <t>Employment Standards Act</t>
  </si>
  <si>
    <t>A change to this document has been announced. The first effective date of the document that makes the change is October 24, 2022. More information about the change, including any additional effective dates, is available &lt;a href="https://laws.yukon.ca/cms/images/LEGISLATION/acts/2022-0012.pdf" target="_blank"&gt;here&lt;/a&gt;.</t>
  </si>
  <si>
    <t>CA-YT-SY2019,c8Sch1</t>
  </si>
  <si>
    <t>Yukon Government Carbon Price Rebate Act</t>
  </si>
  <si>
    <t>CA-YT-SY2022,c11</t>
  </si>
  <si>
    <t>Carbon Price Rebate Amendments Act (2022)</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</si>
  <si>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href="https://laws.yukon.ca/cms/images/LEGISLATION/acts/2022-0011.pdf" target="_blank"&gt;here&lt;/a&gt;.</t>
  </si>
  <si>
    <t>NWT.Reg.080-2010</t>
  </si>
  <si>
    <t>Workers' Compensation General Regulations</t>
  </si>
  <si>
    <t>CA-NT-R-064-2022</t>
  </si>
  <si>
    <t>Workers’ Compensation General Regulations, amendment</t>
  </si>
  <si>
    <t>A change to this document has been announced. The first effective date of the document that makes the change is January 1, 2023. More information about the change, including any additional effective dates, is available &lt;a href="https://www.justice.gov.nt.ca/en/files/northwest-territories-gazette/2022/10_2.pdf" target="_blank"&gt;here&lt;/a&gt;.</t>
  </si>
  <si>
    <t>B.C.Reg.125/2008</t>
  </si>
  <si>
    <t>Carbon Tax Regulation</t>
  </si>
  <si>
    <t>CA-BC-BCReg211/2022</t>
  </si>
  <si>
    <t>Carbon Tax Regulation 2022-11-01 Amendments</t>
  </si>
  <si>
    <t>A change to this document has been announced. The effect of this change is notably to revise the definition of "annual period" to be determined by the director (rather than beginning and ending on a specific set date), and make corresponding changes to due dates for certain payments and annual reports. The first effective date of the document that makes the change is February 23, 2022. More information about the change, including any additional effective dates, is available &lt;a href="https://www.bclaws.gov.bc.ca/civix/document/id/oic/oic_cur/0472_2022" target="_blank"&gt;here&lt;/a&gt;.</t>
  </si>
  <si>
    <t>SBC2018,c29</t>
  </si>
  <si>
    <t>Cannabis Control and Licensing Act</t>
  </si>
  <si>
    <t>CA-BC-SBC2022,c28</t>
  </si>
  <si>
    <t>Cannabis Control and Licensing Amendment Act, 2022</t>
  </si>
  <si>
    <t>A change to this document has been announced. The first effective date of the document that makes the change is November 3, 2022. More information about the change, including any additional effective dates, is available &lt;a href="https://www.leg.bc.ca/Pages/BCLASS-Legacy.aspx#%2Fcontent%2Fdata%2520-%2520ldp%2Fpages%2F42nd3rd%2F3rd_read%2Fgov30-3.htm" target="_blank"&gt;here&lt;/a&gt;.</t>
  </si>
  <si>
    <t>CA-BC-SBC2019,c14</t>
  </si>
  <si>
    <t>Financial Services Authority Act</t>
  </si>
  <si>
    <t>CA-BC-SBC2022,c27</t>
  </si>
  <si>
    <t>Mortgage Services Act</t>
  </si>
  <si>
    <t>SBC2001,c42</t>
  </si>
  <si>
    <t>Lobbyists Transparency Act</t>
  </si>
  <si>
    <t>CA-BC-SBC2022,c31</t>
  </si>
  <si>
    <t>Attorney General Statutes Amendment Act (No. 2), 2022</t>
  </si>
  <si>
    <t>A change to this document has been announced. The first effective date of the document that makes the change is November 3, 2022. More information about the change, including any additional effective dates, is available &lt;a href="https://www.leg.bc.ca/Pages/BCLASS-Legacy.aspx#%2Fcontent%2Fdata%2520-%2520ldp%2Fpages%2F42nd3rd%2F3rd_read%2Fgov27-3.htm" target="_blank"&gt;here&lt;/a&gt;.</t>
  </si>
  <si>
    <t>CA-NS-NSReg240/2022</t>
  </si>
  <si>
    <t>CA-NS-NSReg130/2014</t>
  </si>
  <si>
    <t>Renewable Electricity Retail Sale Regulations</t>
  </si>
  <si>
    <t>CA-NS-NSReg235/2022</t>
  </si>
  <si>
    <t>Renewable Electricity Retail Sale Regulations–amendment</t>
  </si>
  <si>
    <t>CA-AB-AR194/2022</t>
  </si>
  <si>
    <t>Extended Producer Responsibility Regulation</t>
  </si>
  <si>
    <t>CA-Vol.156,No.44(5292)</t>
  </si>
  <si>
    <t>Vessel Construction and Equipment Regulations</t>
  </si>
  <si>
    <t>CA-Vol.156,No.44(5127)</t>
  </si>
  <si>
    <t>Notice of intent on the labelling of toxic substances in products, including toxic flame retardants</t>
  </si>
  <si>
    <t>GOHSA-ON</t>
  </si>
  <si>
    <t>Guide to the Occupational Health and Safety Act</t>
  </si>
  <si>
    <t>CA-GOHSA-ON(2022-06-29)</t>
  </si>
  <si>
    <t>Guide to the Occupational Health and Safety Act 2022-06-29 Amendments</t>
  </si>
  <si>
    <t>SO2004,c3,SchA</t>
  </si>
  <si>
    <t>Personal Health Information Protection Act, 2004</t>
  </si>
  <si>
    <t>CA-ON-Vol.155-44(3825)</t>
  </si>
  <si>
    <t>Proclamation of the Health Information Protection Act, 2016, Sched. 1, s. 1(10)</t>
  </si>
  <si>
    <t>Provisions of an Act amending this document are coming into force March 31, 2023. More information about the change, including any additional effective dates, is available &lt;a href="https://www.ontario.ca/files/2022-10/ontariogazette_155-44.pdf" target="_blank"&gt;here&lt;/a&gt;.</t>
  </si>
  <si>
    <t>CA-AB-AR196/2022</t>
  </si>
  <si>
    <t>Procedures (Environment and Parks) Amendment Regulation</t>
  </si>
  <si>
    <t>Alta.Reg.276/2003</t>
  </si>
  <si>
    <t>Activities Designation Regulation</t>
  </si>
  <si>
    <t>CA-AB-AR203/2022</t>
  </si>
  <si>
    <t>Activities Designation Amendment Regulation</t>
  </si>
  <si>
    <t>A change to this document has been announced. The effect of this change is notably to clarify the definitions of "geothermal heating operation" and "heating plant" to exclude pipelines below a certain size. The first effective date of the document that makes the change is October 7, 2022. More information about the change, including any additional effective dates, is available &lt;a href="https://kings-printer.alberta.ca/documents/gazette/2022/pdf/20_Oct31_Part2.pdf" target="_blank"&gt;here&lt;/a&gt;.</t>
  </si>
  <si>
    <t>NLR.57/02</t>
  </si>
  <si>
    <t>Endangered Species List Regulations</t>
  </si>
  <si>
    <t>CA-NL-NLR75/22</t>
  </si>
  <si>
    <t>Endangered Species List Regulations (Amendment)</t>
  </si>
  <si>
    <t>A change to this document has been announced. The effect of this change is notably to:&lt;p&gt;&lt;li&gt;add a list of species designated as extinct, and include Grizzly Bear, Ungava Population) (Ursus arctos) in that list;&lt;li&gt;add Leach's Storm Petrel (Oceanodroma leucorhoa), Lesser Yellowlegs (Tringa flavipes), and Short-eared Owl (Asio flammeus) to, and remove Chimney Swift (Chaetura pelagica), Common Nighthawk (Chardeiles minor), Olive-sided Flycatcher (Contopus cooperi) from, the list of threatened species; and&lt;li&gt;add Barn Swallow (Hirundo rustica), Common Nighthawk (Chordeiles minor), and Olivesided Flycatcher (Contopus cooperi) to, and remove Short-eared owl (Asio flammeus) from, the list of vulnerable species.&lt;/p&gt; The first effective date of the document that makes the change is October 28, 2022. More information about the change, including any additional effective dates, is available &lt;a href="https://www.assembly.nl.ca/legislation/sr/annualregs/2022/nr220075.htm" target="_blank"&gt;here&lt;/a&gt;.</t>
  </si>
  <si>
    <t>CA-BC-Prop-2022-10-28</t>
  </si>
  <si>
    <t>Province establishing permanent rodenticide restrictions</t>
  </si>
  <si>
    <t>CA-Vol.156,No.44(5154)</t>
  </si>
  <si>
    <t>Regulations Amending the Output-Based Pricing System Regulations and the Environmental Violations Administrative Monetary Penalties Regulations</t>
  </si>
  <si>
    <t>CA-BC-Prop-2022-10-25</t>
  </si>
  <si>
    <t>December 2022 public hearing on proposed amendments to the Occupational Health and Safety Regulation</t>
  </si>
  <si>
    <t>CA-NB-SNB1987,cP-5.1</t>
  </si>
  <si>
    <t>Pension Benefits Act</t>
  </si>
  <si>
    <t>CA-NB-Vol.180(982)</t>
  </si>
  <si>
    <t>Proclamation of An Act to Amend the Pension Benefits Act, ss. 1(a), 6, 11, 13, 15, 16, 24(a), 24(b)</t>
  </si>
  <si>
    <t>Provisions of an Act amending this document are coming into force on October 1, 2022. More information about the change, including any additional effective dates, is available &lt;a href="https://www2.gnb.ca/content/dam/gnb/Corporate/Gazette/2022/rg-2022-10-26.pdf" target="_blank"&gt;here&lt;/a&gt;.</t>
  </si>
  <si>
    <t>NB.Reg.2008-54</t>
  </si>
  <si>
    <t>Designated Materials Regulation</t>
  </si>
  <si>
    <t>CA-NB-NBReg2022-73</t>
  </si>
  <si>
    <t>Designated Materials Regulation 2022-10-24 Amendments</t>
  </si>
  <si>
    <t>A change to this document has been announced. The effect of this change is to add requirements applicable to manufacturers, sellers, and distributors of certain pharmaceutical products and medical sharps. It notably designates certain pharmaceutical products and medical sharps as designated materials under the Clean Environment Act (RSNB1973,cC-6) and subsequently restricts certain pharmaceutical products or medical sharp brand owners (brand owners) from selling, offering for sale, or distributing certain pharmaceutical products and medical sharps unless they are registered with the stewardship board (Recycle New Brunswick). It would also notably require brand owners to:&lt;p&gt;&lt;li&gt; submit a stewardship plan along with their application for registration to be approved by Recycle New Brunswick;&lt;li&gt; provide an annual report and other information to Recycle New Brunswick detailing the effectiveness of their stewardship plan; and&lt;li&gt; provide certain information to consumers concerning their stewardship plan, access to return facilities, and the environmental, economic, health and safety benefits of participating in the pharmaceutical products and medical sharps stewardship program.&lt;/p&gt; The first effective date of the document that makes the change is October 24, 2022. More information about the change, including any additional effective dates, is available &lt;a href="https://www2.gnb.ca/content/dam/gnb/Departments/ag-pg/PDF/RegulationsReglements/2022/2022-73.pdf" target="_blank"&gt;here&lt;/a&gt;.</t>
  </si>
  <si>
    <t>CA-NB-NBReg89-65</t>
  </si>
  <si>
    <t>Special Permit Fees Regulation</t>
  </si>
  <si>
    <t>CA-NB-NBReg2022-71</t>
  </si>
  <si>
    <t>Special Permit Fees Regulation 2022-10-24 Amendments</t>
  </si>
  <si>
    <t>A change to this document has been announced. The first effective date of the document that makes the change is December 1, 2022. More information about the change, including any additional effective dates, is available &lt;a href="https://www2.gnb.ca/content/dam/gnb/Departments/ag-pg/PDF/RegulationsReglements/2022/2022-71.pdf" target="_blank"&gt;here&lt;/a&gt;.</t>
  </si>
  <si>
    <t>BC.Reg.396/95</t>
  </si>
  <si>
    <t>Employment Standards Regulation</t>
  </si>
  <si>
    <t>CA-BC-BCReg208/2022</t>
  </si>
  <si>
    <t>Employment Standards Regulation 2022-10-25 Amendments</t>
  </si>
  <si>
    <t>A change to this document has been announced. The effect of this change is to clarify that the Employment Standards Act (RSBC1996,c113) does not apply to persons registered with the British Columbia College of Oral Health Professional who are authorized to use the title "dentist", "dental surgeon", "surgeon", or "doctor". The first effective date of the document that makes the change is October 24, 2022. More information about the change, including any additional effective dates, is available &lt;a href="https://www.bclaws.gov.bc.ca/civix/document/id/oic/oic_cur/0536_2022" target="_blank"&gt;here&lt;/a&gt;.</t>
  </si>
  <si>
    <t>CA-SOR/2022-206</t>
  </si>
  <si>
    <t>Order 2022-87-09-01 Amending the Domestic Substances List</t>
  </si>
  <si>
    <t>CA-SOR/2022-207</t>
  </si>
  <si>
    <t>Order 2022-112-09-01 Amending the Domestic Substances List</t>
  </si>
  <si>
    <t>CA-SOR/2022-212</t>
  </si>
  <si>
    <t>CA-SI/2022-51</t>
  </si>
  <si>
    <t>Order Fixing October 26, 2022 as the Day on Which Division 18 of Part 5 of the Budget Implementation Act, 2022, No. 1 Comes into Force</t>
  </si>
  <si>
    <t>CA-SOR/2022-213</t>
  </si>
  <si>
    <t>CA-SOR/2022-35</t>
  </si>
  <si>
    <t>Most-Favoured-Nation Tariff Withdrawal Order (2022-1)</t>
  </si>
  <si>
    <t>CA-SOR/2022-209</t>
  </si>
  <si>
    <t>Most-Favoured-Nation Tariff Withdrawal Order (2022-2)</t>
  </si>
  <si>
    <t>This document has been replaced by the Most-Favoured-Nation Tariff Withdrawal Order (2022-2) (CA-SOR/2022-209). The first effective date of the document that makes the change is October 7, 2022. More information about the change, including any additional effective dates, is available &lt;a href="https://canadagazetteducanada.gc.ca/rp-pr/p2/2022/2022-10-26/html/sor-dors209-eng.html" target="_blank"&gt;here&lt;/a&gt;."</t>
  </si>
  <si>
    <t>CA-SC1997,c36</t>
  </si>
  <si>
    <t>Customs Tariff</t>
  </si>
  <si>
    <t>A change to this document has been announced. According to the government, the effect of this change is to "[withdraw] eligibility for the [Most Favoured Nation (MFN)] Tariff from goods originating in Russia and Belarus, but [exempt] goods of tariff item No. 2844.43.00" (certain radioactive chemical elements and radioactive isotopes, including cobalt-60), resulting in the application of the General Tariff of 35% to Russian and Belarussian goods with certain exceptions. The first effective date of the document that makes the change is October 7, 2022. More information about the change, including any additional effective dates, is available &lt;a href="https://canadagazetteducanada.gc.ca/rp-pr/p2/2022/2022-10-26/html/sor-dors209-eng.html" target="_blank"&gt;here&lt;/a&gt;.</t>
  </si>
  <si>
    <t>CA-Vol.156,No.41(4951)</t>
  </si>
  <si>
    <t>Order 2022-87-09-02 Amending the Non-domestic Substances List</t>
  </si>
  <si>
    <t>CA-NS-Bill206(64-1)</t>
  </si>
  <si>
    <t>Bill 206 - Underground Hydrocarbons Storage Act (amended)</t>
  </si>
  <si>
    <t>CA-SK-RTS-8000</t>
  </si>
  <si>
    <t>Grounding and Bonding</t>
  </si>
  <si>
    <t>CA-SK-RTS-8000(2022-10-24)</t>
  </si>
  <si>
    <t>Grounding and Bonding 2022-10-24 Amendments</t>
  </si>
  <si>
    <t>CA-NS-Bill207(64-1)</t>
  </si>
  <si>
    <t>Bill 207 - Electricity Act (amended)</t>
  </si>
  <si>
    <t>CA-Vol.156,No.27(4069)</t>
  </si>
  <si>
    <t>Interim Order Respecting Cruise Ship Restrictions and Vaccination Requirements Due to the Coronavirus Disease 2019 (COVID-19)</t>
  </si>
  <si>
    <t>CA-Vol.156,No.43(5104)</t>
  </si>
  <si>
    <t>Order Repealing the Interim Order Respecting Cruise Ship Restrictions and Vaccination Requirements Due to the Coronavirus Disease 2019 (COVID-19)</t>
  </si>
  <si>
    <t>This document has been repealed by the Order Repealing the Interim Order Respecting Cruise Ship Restrictions and Vaccination Requirements Due to the Coronavirus Disease 2019 (COVID-19) (CA-Vol.156,No.43(5104)). Subsequent to that announcement, no customers were tracking changes to this document. As a result, no analysis of the change is available in the language that you have selected. More information about the change is available &lt;a href="https://canadagazetteducanada.gc.ca/rp-pr/p1/2022/2022-10-22/html/notice-avis-eng.html#ne3" target="_blank"&gt;here&lt;/a&gt;.</t>
  </si>
  <si>
    <t>CA-SC2022,c12</t>
  </si>
  <si>
    <t>An Act to amend the Criminal Code (disclosure of information by jurors)</t>
  </si>
  <si>
    <t>CA-SC2022,c13</t>
  </si>
  <si>
    <t>Cost of Living Relief Act, No. 1 (Targeted Tax Relief)</t>
  </si>
  <si>
    <t>CA-YT-Bill17(35-1)</t>
  </si>
  <si>
    <t>Bill 17 - Clean Energy Act</t>
  </si>
  <si>
    <t>CA-QC-CQLRcQ-2,r17.1</t>
  </si>
  <si>
    <t>Regulation respecting the regulatory scheme applying to activities on the basis of their environmental impact</t>
  </si>
  <si>
    <t>A change to this document has been announced. The effect of this change is notably to revise the list of activities that require an authorization or amendment of an authorization by the government, with certain exemptions including for "water withdrawals using a ditch, a drain or a pumping device intended for the drainage of a building; the installation and subsequent operation of a temporary treatment system to remove suspended matters; the modification and extension of a storm water management system that feeds into a sewer system covered by a depollution attestation; [...] the operation of equipment or apparatus for the conditioning of organic materials sorted at source on the site where the materials are produced; the installation and operation of an apparatus or equipment intended to prevent, abate or stop the release of contaminants into the atmosphere that is used incidentally to an activity covered by a declaration of compliance or exempted". The first effective date of the document that makes the change is September 1, 2022. More information about the change, including any additional effective dates, is available &lt;a href="https://www2.publicationsduquebec.gouv.qc.ca/dynamicSearch/telecharge.php?type=1&amp;file=105942.pdf" target="_blank"&gt;here&lt;/a&gt; beginning on page 3266 of the Gazette and &lt;a href="https://nimonikapp.com/legislations/347060" target="_blank"&gt;here&lt;/a&gt;.</t>
  </si>
  <si>
    <t>RRQ,cQ-2,r10</t>
  </si>
  <si>
    <t>Regulation respecting compensation for municipal services provided to recover and reclaim residual materials</t>
  </si>
  <si>
    <t>A change to this document has been announced. According to the government, the effect of this change is notably to (1) make "operators of transactional websites and vendors subject to the payment of a contribution for containers and packaging resulting from sales of products acquired outside Quebec", (2) revoke "provisions providing for limitations and the division of the annual compensation owed to municipalities based on the materials and classes of materials subject to compensation", and (3) specify "that the annual compensation owed to municipalities for the 'newspaper' class of materials may be paid through a contribution in goods or services up to an amount representing 15% of the annual compensation due for this class of materials". The first effective date of the document that makes the change is June 2, 2022. More information about the change, including any additional effective dates, is available &lt;a href="http://www2.publicationsduquebec.gouv.qc.ca/dynamicSearch/telecharge.php?type=1&amp;file=105715.pdf" target="_blank"&gt;here&lt;/a&gt; and &lt;a href="http://www2.publicationsduquebec.gouv.qc.ca/dynamicSearch/telecharge.php?type=1&amp;file=105395.pdf" target="_blank"&gt;here&lt;/a&gt;.</t>
  </si>
  <si>
    <t>CA-Vol.156,No.42(5056)</t>
  </si>
  <si>
    <t>Regulations Amending Certain Regulations Made Under the Canada Labour Code (Menstrual Products)</t>
  </si>
  <si>
    <t>CA-NB-SNB2017,c18</t>
  </si>
  <si>
    <t>Local Governance Act</t>
  </si>
  <si>
    <t>CA-NB-SNB2022,c40,s1</t>
  </si>
  <si>
    <t>Community Funding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</si>
  <si>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href="https://www2.gnb.ca/content/dam/gnb/Departments/ag-pg/PDF/ActsLois/2021/Chap-44.pdf" target="_blank"&gt;here&lt;/a&gt;.</t>
  </si>
  <si>
    <t>RSQ,cQ-2</t>
  </si>
  <si>
    <t>Environment Quality Act</t>
  </si>
  <si>
    <t>CA-QC-IN(A)2022-10-17</t>
  </si>
  <si>
    <t>Information note (Acts) 2022-10-17</t>
  </si>
  <si>
    <t>A change to this document has been announced. &lt;p&gt;The effect of this change is notably to: &lt;/p&gt;
&lt;li&gt; revise the definition of "person" to include trusts and any other groups of persons;
&lt;li&gt; require persons responsible for the accidental release of a hazardous material to recover, clean, or treat the matter contaminated by the release;
&lt;li&gt; provide additional circumstances in which authorization holders are required to obtain an amendment to the authorization before changing their project and what information must be included in the amendment application;
&lt;li&gt; provide a 90-day period for the submission of reports and certificates concerning rehabilitation plan works;
&lt;li&gt; prohibit the use, sale, and possession of devices for tampering with motor vehicle pollution control systems;
&lt;li&gt; introduce additional record-keeping requirements relating to the release of hazardous material into the environment; 
&lt;li&gt; establish cases in which a person who has custody of land must apply for the registration of a notice of land use restriction in the land register; and
&lt;li&gt; revise various penalties and fine amounts.&lt;ul&gt;&lt;/ul&gt; The first effective date of the document that makes the change is May 12, 2022. More information about the change, including any additional effective dates, is available &lt;a href="https://canlii.ca/t/bg30" target="_blank"&gt;here&lt;/a&gt; beginning at page 61.</t>
  </si>
  <si>
    <t>CA-BC-BCReg200/2022</t>
  </si>
  <si>
    <t>Proclamation of the Employment Standards Amendment Act, s. 7, 34(c), 35 (a); Employment Standards Regulation 2022-10-11 Amendments</t>
  </si>
  <si>
    <t>RSBC1996,c113</t>
  </si>
  <si>
    <t>Provisions of an Act amending this document are coming into force on January 1, 2023. The effect of this change is notably to prohibit the employment of children in a hazardous industry or hazardous work (as defined in the Employment Standards Regulation (BC.Reg.396/95)) entirely for children under the age of 16 and for children between the ages of 16 to 18 unless they have attained the prescribed age for the hazardous industry or work. More information about the change, including any additional effective dates and the list of types of hazardous work, is available &lt;a href="https://www.bclaws.gov.bc.ca/civix/document/id/oic/oic_cur/0512_2022" target="_blank"&gt;here&lt;/a&gt; and &lt;a href="https://www.leg.bc.ca/Pages/BCLASS-Legacy.aspx#%2Fcontent%2Fdata%2520-%2520ldp%2Fpages%2F41st4th%2F3rd_read%2Fgov08-3.htm" target="_blank"&gt;here&lt;/a&gt;.</t>
  </si>
  <si>
    <t>CA-MB-Bill22(42-4)</t>
  </si>
  <si>
    <t>Bill 22 - The Environment Amendment Act (Pesticide Restrictions)</t>
  </si>
  <si>
    <t>CA-SOR/2020-49</t>
  </si>
  <si>
    <t>International and Interprovincial Power Line Damage Prevention Regulations – Obligations of Holders of Permits and Certificates</t>
  </si>
  <si>
    <t>CA-SOR/2020-258</t>
  </si>
  <si>
    <t>Off-road Compression-Ignition (Mobile and Stationary) and Large Spark-Ignition Engine Emission Regulations</t>
  </si>
  <si>
    <t>A change to this document has been announced. According to the government, the effect of this change is notably to:&lt;p&gt;&lt;li&gt;update the definition of "emission family" "to ensure that large spark-ignition engines meeting the alternate standards and certified in the United States under section 1039 of the CFR will be eligible for import into Canada and be recognized as compression-ignition engines meeting those requirements";&lt;li&gt;update labelling requirements "to allow large spark-ignition engines meeting the alternate standards to be labelled as a compression-ignition engine" with either a Canadian or American label; and&lt;li&gt;amend maintenance instruction requirements "to allow large spark-ignition engines meeting the alternate standards to be subject to the maintenance instructions provision for compression-ignition engines."&lt;/p&gt; The first effective date of the document that makes the change is October 3, 2022. More information about the change, including any additional effective dates, is available &lt;a href="https://canadagazetteducanada.gc.ca/rp-pr/p2/2022/2022-10-12/html/sor-dors204-eng.html" target="_blank"&gt;here&lt;/a&gt;.</t>
  </si>
  <si>
    <t>SOR/2011-10</t>
  </si>
  <si>
    <t>Marine Spark-Ignition Engine, Vessel and Off-Road Recreational Vehicle Emission Regulations</t>
  </si>
  <si>
    <t>A change to this document has been announced. According to the Government of Canada, the effect of the changes is notably to "allow [mobile compression-ignition engines (MCI)] engines used in recreational vehicles to meet the standards for either a recreational vehicle or an MCI engine". The first effective date of the document that makes the change is December 4, 2020. More information about the change, including any additional effective dates, is available &lt;a href="https://canlii.ca/t/b5h7" target="_blank"&gt;here&lt;/a&gt;.</t>
  </si>
  <si>
    <t>CA-SOR/2016-43</t>
  </si>
  <si>
    <t>Potable Water on Board Trains, Vessels, Aircraft and Buses Regulations</t>
  </si>
  <si>
    <t>CA-SOR/2022-197</t>
  </si>
  <si>
    <t>Regulations Amending Certain Department of Health Regulations (Miscellaneous Program)</t>
  </si>
  <si>
    <t>SOR/2001-269</t>
  </si>
  <si>
    <t>Consumer Chemicals and Containers Regulations</t>
  </si>
  <si>
    <t>A change to this document has been announced. The first effective date of the document that makes the change is July 1, 2020. More information about the change, including any additional effective dates, is available &lt;a href="http://www.gazette.gc.ca/rp-pr/p2/2019/2019-12-25/html/sor-dors353-eng.html" target="_blank"&gt;here&lt;/a&gt;.</t>
  </si>
  <si>
    <t>CRC,c1370-en</t>
  </si>
  <si>
    <t>Radiation Emitting Devices Regulations</t>
  </si>
  <si>
    <t>CA-SOR/2018-144</t>
  </si>
  <si>
    <t>Cannabis Regulations</t>
  </si>
  <si>
    <t>A change to this document has been announced. The first effective date of the document that makes the change is July 21, 2022. More information about the change, including any additional effective dates, is available &lt;a href="https://canadagazetteducanada.gc.ca/rp-pr/p2/2022/2022-07-20/html/sor-dors169-eng.html" target="_blank"&gt;here&lt;/a&gt;.</t>
  </si>
  <si>
    <t>CA-CRC,c870</t>
  </si>
  <si>
    <t>Food and Drug Regulations</t>
  </si>
  <si>
    <t>A change to this document has been announced. The first effective date of the document that makes the change is July 20, 2022. More information about the change, including any additional effective dates, is available &lt;a href="https://canadagazetteducanada.gc.ca/rp-pr/p2/2022/2022-07-20/html/sor-dors168-eng.html" target="_blank"&gt;here&lt;/a&gt;.</t>
  </si>
  <si>
    <t>CA-SOR/2022-198</t>
  </si>
  <si>
    <t>Regulations Amending the Immigration and Refugee Protection Regulations</t>
  </si>
  <si>
    <t>CA-SOR/2022-201</t>
  </si>
  <si>
    <t>CA-SOR/2014-60</t>
  </si>
  <si>
    <t>Special Economic Measures (Ukraine) Regulations</t>
  </si>
  <si>
    <t>CA-SOR/2022-203</t>
  </si>
  <si>
    <t>Regulations Amending the Special Economic Measures (Ukraine) Regulations</t>
  </si>
  <si>
    <t>A change to this document has been announced. The change is part of a suite of amendments adding to the list of entities that are subject to a broad dealings ban and prohibiting certain transactions and activities in Russian-occupied regions of Ukraine. The first effective date of the document that makes the change is September 29, 2022. More information about the change, including any additional effective dates, is available &lt;a href="https://canadagazetteducanada.gc.ca/rp-pr/p2/2022/2022-10-12/html/sor-dors202-eng.html" target="_blank"&gt;here&lt;/a&gt;.</t>
  </si>
  <si>
    <t>CA-SOR/2022-202</t>
  </si>
  <si>
    <t>CA-SOR/2022-205</t>
  </si>
  <si>
    <t>CA-BC-Prop-2022-10-03</t>
  </si>
  <si>
    <t>Making Contaminated Sites Climate Ready</t>
  </si>
  <si>
    <t>CA-Vol.156,No.41(5001)</t>
  </si>
  <si>
    <t>Order Adding a Toxic Substance to Schedule 1 to the Canadian Environmental Protection Act, 1999</t>
  </si>
  <si>
    <t>CA-Vol.156,No.39(4820)</t>
  </si>
  <si>
    <t>Interim Order Respecting Certain Requirements for Civil Aviation Due to COVID-19, No. 72</t>
  </si>
  <si>
    <t>CA-Vol.156,No.41(4961)</t>
  </si>
  <si>
    <t>Interim Order Respecting Certain Requirements for Civil Aviation Due to COVID-19, No. 73</t>
  </si>
  <si>
    <t>This document is being replaced by the Interim Order Respecting Certain Requirements for Civil Aviation Due to COVID-19, No. 73 (CA-Vol.156,No.41(4961)). The first effective date of the document that makes the change is September 22, 2022. More information about the change, including any additional effective dates, is available &lt;a href="https://canadagazetteducanada.gc.ca/rp-pr/p1/2022/2022-10-08/html/notice-avis-eng.html#na9" target="_blank"&gt;here&lt;/a&gt;.</t>
  </si>
  <si>
    <t>CA-NB-NBReg2022-69</t>
  </si>
  <si>
    <t>Tax Withholding and Deductions Regulation - New Brunswick Income Tax Act</t>
  </si>
  <si>
    <t>CA-NB-NBReg2022-68</t>
  </si>
  <si>
    <t>Death Review Committee Regulation – Coroners Act</t>
  </si>
  <si>
    <t>CA-QC-Vol.154,No.40(3565)</t>
  </si>
  <si>
    <t>Regulation respecting the applicable percentages for the purposes of levying the assessment on employers personally liable for the payment of benefits for 2023</t>
  </si>
  <si>
    <t>CA-CROR-2021</t>
  </si>
  <si>
    <t>Canadian Rail Operating Rules 2021 version</t>
  </si>
  <si>
    <t>CA-CROR-2022</t>
  </si>
  <si>
    <t>Canadian Rail Operating Rules 2022 version</t>
  </si>
  <si>
    <t>A new version of this document has been announced. The first effective date of the document that makes the change is October 1, 2022. More information about the change is available &lt;a href="https://tc.canada.ca/sites/default/files/2022-05/canadian-rail-operating-rules-may-9-2022.pdf" target="_blank"&gt;here&lt;/a&gt;.</t>
  </si>
  <si>
    <t>CA-TCE-54-2021</t>
  </si>
  <si>
    <t>Rules Respecting Track Safety 2021 version</t>
  </si>
  <si>
    <t>CA-TCE-54-2022</t>
  </si>
  <si>
    <t>Rules Respecting Track Safety 2022 version</t>
  </si>
  <si>
    <t>A new version of this document has been announced. The new version primarily covers the same scope as the previous document, with revisions focusing on changes in the language and structure of the rules, particularly as they relate to track inspections, including—&lt;ul&gt;&lt;li&gt;clarification around the frequency of track inspections, such as the maximum interval of days following the previous Rail Flaw Inspections, and the meaning of “railway company track standards” and "repeat geometry defect”;&lt;li&gt;railway companies' obligations to ensure that a person authorizing movements to pass over a broken rail is qualified and certified, to develop and adhere to a certification process that demonstrates such qualification and certification;&lt;li&gt;safety requirements for documenting railroad company track standards and calculating specified key track performance indicators, such as the number of repeat geometry defects per mile for each calendar year; and &lt;li&gt;new procedures related to the use of automated track inspection techniques and inspection equipment.&lt;/ul&gt;&lt;p&gt;The first effective date of the document that makes the change is May 31, 2023. More information about the change is available &lt;a href="https://tc.canada.ca/sites/default/files/2022-06/TC_E-80_Rules_Respecting_Track_Safety_ENG.pdf" target="_blank"&gt;here&lt;/a&gt;.&lt;/p&gt;</t>
  </si>
  <si>
    <t>RRQ,cA-3.001,r7</t>
  </si>
  <si>
    <t>Regulation Respecting Financing</t>
  </si>
  <si>
    <t>CA-QC-Vol.154,No.40(3566)</t>
  </si>
  <si>
    <t>Regulation to amend the Regulation respecting financing</t>
  </si>
  <si>
    <t>A change to this document has been announced. According to the Quebec Government, the effect of the changes is notably to determine various classifications units, ratios, thresholds and premiums that will be used for the 2023 assessment year. More information about the change, including any additional effective dates, is available &lt;a href="https://www2.publicationsduquebec.gouv.qc.ca/dynamicSearch/telecharge.php?type=1&amp;file=105990.pdf" target="_blank"&gt;here&lt;/a&gt;.</t>
  </si>
  <si>
    <t>TCO.0-112</t>
  </si>
  <si>
    <t>Railway Locomotive Inspection and Safety Rules, 2015</t>
  </si>
  <si>
    <t>CA-TCO.0-112-2022</t>
  </si>
  <si>
    <t>Railway Locomotive Inspection and Safety Rules 2022 version</t>
  </si>
  <si>
    <t>A new version of this document has been announced. The effect of the change, according to Transport Canada, is to prescribe and improve "performance standards for locomotives equipped with roll-away protection, which is a feature designed to apply the air brakes when movement is detected". Notably, it defines “roll-away protection” as a locomotive protection system and specifies the requirements related to control locomotives equipped with a roll-off protection safety control system.&lt;p&gt;The first effective date of the document that makes the change is October 1, 2022. More information about the change is available &lt;a href="https://tc.canada.ca/sites/default/files/2022-05/MAY_9_2022_VERSION-RAILWAY_LOCOMOTIVE_INSPECTION_AND_SAFETY_RULES_ENGLISH.pdf" target="_blank"&gt;here&lt;/a&gt;.&lt;/p&gt;</t>
  </si>
  <si>
    <t>CA-NT-R-057-2022</t>
  </si>
  <si>
    <t>Land Withdrawal Order (Reindeer Grazing Reserve)</t>
  </si>
  <si>
    <t>CA-YT-MO2022/51</t>
  </si>
  <si>
    <t>Moose Hunting Season Closure Order - Faro</t>
  </si>
  <si>
    <t>CA-AB-AR181/2022</t>
  </si>
  <si>
    <t>Procedures (Traffic Safety) Amendment Regulation</t>
  </si>
  <si>
    <t>CA-QC-AM2018-006</t>
  </si>
  <si>
    <t>Regulation respecting forestry permits</t>
  </si>
  <si>
    <t>CA-QC-MO2022-021</t>
  </si>
  <si>
    <t>Regulation to amend the Regulation respecting forestry permits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</si>
  <si>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href="https://www2.publicationsduquebec.gouv.qc.ca/dynamicSearch/telecharge.php?type=1&amp;file=105996.pdf" target="_blank"&gt;here&lt;/a&gt;.</t>
  </si>
  <si>
    <t>CDWG-CA</t>
  </si>
  <si>
    <t>Guidelines for Canadian Drinking Water Quality - Summary Table</t>
  </si>
  <si>
    <t>CA-Vol.156,No.36(4727)</t>
  </si>
  <si>
    <t>Guidance on waterborne pathogens in drinking water</t>
  </si>
  <si>
    <t>A change to this document has been announced. The government has developed specific guidelines for waterborne pathogens in drinking water. The first effective date of the document that makes the change is September 3, 2022. More information about the change, including any additional effective dates, is available &lt;a href="https://canadagazetteducanada.gc.ca/rp-pr/p1/2022/2022-09-03/html/notice-avis-eng.html#ne3" target="_blank"&gt;here&lt;/a&gt;.</t>
  </si>
  <si>
    <t>CA-ON-ERO-019-4868</t>
  </si>
  <si>
    <t>Amendment to Ontario Regulation 316/07 under the Provincial Parks and Conservation Reserves Act, 2006 to create Alfred Bog Provincial Park</t>
  </si>
  <si>
    <t>CA-SK-SS2004,cT-18.1</t>
  </si>
  <si>
    <t>The Traffic Safety Act</t>
  </si>
  <si>
    <t>CA-SK-Vol.118,No.38(2754)</t>
  </si>
  <si>
    <t>Proclamation of The Traffic Safety Amendment Act, 2022, s. 14</t>
  </si>
  <si>
    <t>A section of an Act amending this document is coming into force on October 1, 2022. More information about the change, including any additional effective dates, is available &lt;a href="https://publications.saskatchewan.ca/api/v1/products/118942/formats/136803/download" target="_blank"&gt;here&lt;/a&gt;.</t>
  </si>
  <si>
    <t>CA-Vol.156,No.37(4747)</t>
  </si>
  <si>
    <t>Interim Order Respecting Certain Requirements for Civil Aviation Due to COVID-19, No. 71</t>
  </si>
  <si>
    <t>This document is being replaced by the Interim Order Respecting Certain Requirements for Civil Aviation Due to COVID-19, No. 72 (CA-Vol.156,No.39(4820)). The first effective date of the document that makes the change is Sept 9, 2022. More information about the change, including any additional effective dates, is available &lt;a href="https://canadagazetteducanada.gc.ca/rp-pr/p1/2022/2022-09-24/html/notice-avis-eng.html#na2" target="_blank"&gt;here&lt;/a&gt;.</t>
  </si>
  <si>
    <t>CA-BC-BCReg186/2022</t>
  </si>
  <si>
    <t>Carbon Tax Regulation 2022-09-20 Amendments</t>
  </si>
  <si>
    <t>CA-YT-Prop-2022-09-21</t>
  </si>
  <si>
    <t>Output-Based Pricing System rebate engagement 2022</t>
  </si>
  <si>
    <t>CA-SK-Prop2022-09-17</t>
  </si>
  <si>
    <t>Tackling Red Tape – Review of the Subsurface Mineral Conservation Regulations</t>
  </si>
  <si>
    <t>CA-NL-Prop-2022-09-14</t>
  </si>
  <si>
    <t>Mineral Act and Mining Act Review</t>
  </si>
  <si>
    <t>CA-QC-CQLRcP-41.1,r1</t>
  </si>
  <si>
    <t>Preservation of Agricultural Land and Agricultural Activities Regulation</t>
  </si>
  <si>
    <t>CA-QC-Vol.154,No.36(3529)</t>
  </si>
  <si>
    <t>Regulation to amend the Preservation of Agricultural Land and Agricultural Activities Regulation</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</si>
  <si>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href="https://www2.publicationsduquebec.gouv.qc.ca/dynamicSearch/telecharge.php?type=1&amp;file=105986.pdf" target="_blank"&gt;here&lt;/a&gt;.</t>
  </si>
  <si>
    <t>CA-Vol.156,No.38(4785)</t>
  </si>
  <si>
    <t>Guidelines for Canadian Drinking Water Quality - Dimethoate and Omethoate</t>
  </si>
  <si>
    <t>CA-SOR/2022-192</t>
  </si>
  <si>
    <t>Order 2022-87-07-01 Amending the Domestic Substances List</t>
  </si>
  <si>
    <t>CA-Vol.156,No.36(4726)</t>
  </si>
  <si>
    <t>Order 2022-87-07-02 Amending the Non-domestic Substances List</t>
  </si>
  <si>
    <t>CA-NL-NLR21/22</t>
  </si>
  <si>
    <t>Forest Fire Season Order, 2022</t>
  </si>
  <si>
    <t>CA-NL-NLR47/22</t>
  </si>
  <si>
    <t>Emergency 911 Fee Regulations, 2022</t>
  </si>
  <si>
    <t>CA-NL-NLR42/22</t>
  </si>
  <si>
    <t>Low Income Tax Reduction Regulations for the 2021 and 2022
Taxation Years</t>
  </si>
  <si>
    <t>SO1997,c16,SchA</t>
  </si>
  <si>
    <t>Workplace Safety and Insurance Act, 1997</t>
  </si>
  <si>
    <t>CA-ON-SO2022,c17</t>
  </si>
  <si>
    <t>Plan to Build Act (Budget Measures), 2022</t>
  </si>
  <si>
    <t>SO2001,c25</t>
  </si>
  <si>
    <t>Municipal Act, 2001</t>
  </si>
  <si>
    <t>CA-ON-SO2022,c18</t>
  </si>
  <si>
    <t>Strong Mayors, Building Homes Act, 2022</t>
  </si>
  <si>
    <t>Provisions of an Act amending this document are coming into force April 11, 2022. More information about the change, including any additional effective dates, is available &lt;a href="https://www.ontario.ca/files/2022-04/ontariogazette_155-16.pdf" target="_blank"&gt;here&lt;/a&gt;.</t>
  </si>
  <si>
    <t>CNLR.1156/96</t>
  </si>
  <si>
    <t>Wild Life Regulations</t>
  </si>
  <si>
    <t>CA-NL-NLR69/22</t>
  </si>
  <si>
    <t>Wild Life Regulations (Amendment)</t>
  </si>
  <si>
    <t>A change to this document has been announced. The effect of this change is to (1) clarify that the snowshoe hare, the only "rabbit" in the province, is concerned by the regulation; (2) create a specific license for shooting or trapping black bear; and (3) include red squirrel in the list of small game, the hunting of which is subject to the regulation. The first effective date of the document that makes the change is September 9, 2022. More information about the change, including any additional effective dates, is available &lt;a href="https://www.assembly.nl.ca/legislation/sr/annualregs/2022/nr220069.htm" target="_blank"&gt;here&lt;/a&gt;.</t>
  </si>
  <si>
    <t>CA-NL-NLR68/22</t>
  </si>
  <si>
    <t>CA-QC-IN(R)2022-09-13</t>
  </si>
  <si>
    <t>Information Note (Regulations) 2022-09-13</t>
  </si>
  <si>
    <t>CA-Vol.156,No.35(4677)</t>
  </si>
  <si>
    <t>Interim Order Respecting Certain Requirements for Civil Aviation Due to COVID-19, No. 70</t>
  </si>
  <si>
    <t>This document is being replaced by the Interim Order Respecting Certain Requirements for Civil Aviation Due to COVID-19, No. 71 (CA-Vol.156,No.37(4747)). The first effective date of the document that makes the change is August 26, 2022. More information about the change, including any additional effective dates, is available &lt;a href="https://canadagazetteducanada.gc.ca/rp-pr/p1/2022/2022-09-10/html/notice-avis-eng.html#na2" target="_blank"&gt;here&lt;/a&gt;.</t>
  </si>
  <si>
    <t>CA-MB-Prop-2022-08-30</t>
  </si>
  <si>
    <t>Workplace Safety and Health Act Review</t>
  </si>
  <si>
    <t>CA-NL-NLR62/22</t>
  </si>
  <si>
    <t>Millertown Municipal Planning Area</t>
  </si>
  <si>
    <t>CA-NL-NLR61/22</t>
  </si>
  <si>
    <t>Lumsden Municipal Planning Area</t>
  </si>
  <si>
    <t>CA-NL-NLR60/22</t>
  </si>
  <si>
    <t>Change Islands Municipal Planning Area</t>
  </si>
  <si>
    <t>CA-YT-Prop-2022-08-17</t>
  </si>
  <si>
    <t>Mining intensity targets engagement 2022</t>
  </si>
  <si>
    <t>CA-NB-NBReg2022-50</t>
  </si>
  <si>
    <t>Local Governments Establishment Regulation – Local Governance Act</t>
  </si>
  <si>
    <t>CA-ON-ERO-019-5769</t>
  </si>
  <si>
    <t>Emissions Performance Standards (EPS) program regulatory amendments for the 2023-2030 period</t>
  </si>
  <si>
    <t>CA-NB-NBReg84-165</t>
  </si>
  <si>
    <t>General Regulation - Electrical Installation and Inspection Act</t>
  </si>
  <si>
    <t>CA-NB-NBReg2022-58</t>
  </si>
  <si>
    <t>General Regulation - Electrical Installation and Inspection Act 2022-08-30 Amendments</t>
  </si>
  <si>
    <t>A change to this document has been announced. The effect of this change is notably to incorporate by reference the more recent version of the Canadian Electrical Code, Part I (25th Edition), Safety Standard for Electrical Installations (CAN/CSA-C22.1:21). The change also modifies the applicability of the exemption for public buildings and establishments from certain licenses, permits, and plan approvals provided that they are being performed by their own permanently employed electricians who meet the prescribed conditions. The first effective date of the document that makes the change is September 1, 2022. More information about the change, including any additional effective dates, is available &lt;a href="https://www2.gnb.ca/content/dam/gnb/Departments/ag-pg/PDF/RegulationsReglements/2022/2022-58.pdf" target="_blank"&gt;here&lt;/a&gt;.</t>
  </si>
  <si>
    <t>NWT.Reg115-2014</t>
  </si>
  <si>
    <t>Wildlife General Regulations, 2014</t>
  </si>
  <si>
    <t>CA-NT-R-050-2022</t>
  </si>
  <si>
    <t>Wildlife General Regulations, amendment</t>
  </si>
  <si>
    <t>A change to this document has been announced. The effect of this document is notably to remove Mountain Island Métis from the list of prescribed aboriginal organizations, and revise the list of wildlife species prescribed as big game, fur-bearers, small game, and birds of prey. The first effective date of the document that makes the change is August 4, 2022. More information about the change, including any additional effective dates, is available &lt;a href="https://www.justice.gov.nt.ca/en/files/northwest-territories-gazette/2022/08_2.pdf" target="_blank"&gt;here&lt;/a&gt;.</t>
  </si>
  <si>
    <t>CA-Vol.156,No.35(4671)</t>
  </si>
  <si>
    <t>Order 2022-87-08-02 Amending the Non-domestic Substances List</t>
  </si>
  <si>
    <t>CA-SOR/2022-186</t>
  </si>
  <si>
    <t>Order 2022-87-08-01 Amending the Domestic Substances List</t>
  </si>
  <si>
    <t>CA-QC-CQLRcP-41.1</t>
  </si>
  <si>
    <t>Act respecting the preservation of agricultural land and agricultural activities</t>
  </si>
  <si>
    <t>CA-QC-OC1566-2022</t>
  </si>
  <si>
    <t>Act to amend various legislative provisions mainly for the purpose of reducing red tape (2021, chapter 35) —Coming into force of subparagraph a of paragraph 1 and paragraphs 4 and 5 of section 79</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</si>
  <si>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href="http://www2.publicationsduquebec.gouv.qc.ca/dynamicSearch/telecharge.php?type=5&amp;file=2021C35A.PDF" target="_blank"&gt;here&lt;/a&gt;.</t>
  </si>
  <si>
    <t>CA-SOR/2022-185</t>
  </si>
  <si>
    <t>Order Amending Schedule V to the Controlled Drugs and Substances Act (Novel Fentanyl Precursors)</t>
  </si>
  <si>
    <t>CA-SOR/2022-188</t>
  </si>
  <si>
    <t>CA-SOR/2022-189</t>
  </si>
  <si>
    <t>Alta.Reg.304/2002</t>
  </si>
  <si>
    <t>Use of Highway and Rules of the Road Regulation</t>
  </si>
  <si>
    <t>CA-AB-AR175/2022</t>
  </si>
  <si>
    <t>Use of Highway and Rules of the Road Amendment Regulation</t>
  </si>
  <si>
    <t>A change to this document has been announced. The first effective date of the document that makes the change is March 1, 2023. More information about the change, including any additional effective dates, is available &lt;a href="https://www.qp.alberta.ca/documents/gazette/2022/pdf/12_Jun30_Part2.pdf" target="_blank"&gt;here&lt;/a&gt; beginning on page 613 of the Gazette.</t>
  </si>
  <si>
    <t>CA-Vol.156,No.35(4669)</t>
  </si>
  <si>
    <t>Ministerial Condition No. 21194</t>
  </si>
  <si>
    <t>RRScH-3.01.Reg1</t>
  </si>
  <si>
    <t>Highways and Transportation Act Regulations</t>
  </si>
  <si>
    <t>CA-SK-SR66/2022</t>
  </si>
  <si>
    <t>The Highways and Transportation Act Amendment Regulations, 2022</t>
  </si>
  <si>
    <t>A change to this document has been announced. The first effective date of the document that makes the change is August 19, 2022. More information about the change, including any additional effective dates, is available &lt;a href="https://publications.saskatchewan.ca/api/v1/products/118734/formats/136499/download" target="_blank"&gt;here&lt;/a&gt;.</t>
  </si>
  <si>
    <t>CA-Vol.156,No.33(4620)</t>
  </si>
  <si>
    <t>Interim Order Respecting Certain Requirements for Civil Aviation Due to COVID-19, No. 69</t>
  </si>
  <si>
    <t>This document is being replaced by the Interim Order Respecting Certain Requirements for Civil Aviation Due to COVID-19, No. 70 (CA-Vol.156,No.35(4677)). The first effective date of the document that makes the change is August 16, 2022. More information about the change, including any additional effective dates, is available &lt;a href="https://canadagazetteducanada.gc.ca/rp-pr/p1/2022/2022-08-27/html/notice-avis-eng.html#na4" target="_blank"&gt;here&lt;/a&gt;.</t>
  </si>
  <si>
    <t>CA-ON-ERO-019-5855</t>
  </si>
  <si>
    <t>Proposal to amend O.Reg. 509/18 under the Electricity Act, 1998 (“Efficiency Regulation”)</t>
  </si>
  <si>
    <t>CA-NL-NLR41/21</t>
  </si>
  <si>
    <t>Open Seasons Hunting and Trapping Order, 2021-2022</t>
  </si>
  <si>
    <t>This document has been replaced by the Open Seasons Hunting and Trapping Order, 2022-2023 (CA-NL-NLR55/22). Subsequent to that announcement, no customers were tracking changes to this document. As a result, no analysis of the change is available in the language that you have selected. More information about the change is available &lt;a href="https://www.gov.nl.ca/dgsnl/files/NLG20220819.pdf" target="_blank"&gt;here&lt;/a&gt;.</t>
  </si>
  <si>
    <t>Alta.Reg.177/2002</t>
  </si>
  <si>
    <t>Railway Regulation</t>
  </si>
  <si>
    <t>CA-AB-AR171/2022</t>
  </si>
  <si>
    <t>Railway Amendment Regulation</t>
  </si>
  <si>
    <t>A change to this document has been announced. The effect of this change is notably to incorporate by reference the federal &lt;a href="https://canlii.ca/t/8zvr" target="_blank"&gt;Prevention and Control of Fires on Line Works Regulations&lt;/a&gt; (SOR/2016-317), and require railway companies to provide the provincial Railway Administrator, upon request, documents related to the railway company's fire preparedness and hazard reduction plan as set out in that document. The first effective date of the document that makes the change is July 19, 2022. More information about the change, including any additional effective dates, is available &lt;a href="https://www.qp.alberta.ca/documents/gazette/2022/pdf/15_Aug15_Part2.pdf" target="_blank"&gt;here&lt;/a&gt;.</t>
  </si>
  <si>
    <t>BCReg100/2004</t>
  </si>
  <si>
    <t>Electrical Safety Regulation</t>
  </si>
  <si>
    <t>CA-BC-BCReg179/2022</t>
  </si>
  <si>
    <t>Electrical Safety Regulation 2022-08-11 Amendments</t>
  </si>
  <si>
    <t>A change to this document has been announced. The effect of this change is notably to (1) allow class B certificate of qualification holders to make declarations concerning electrical installations with voltages of up to 1000 volts, (2) require that an individual has "work experience acceptable to a provincial safety manager" to obtain a class A, B, or C certificate of qualification as a field safety representative, and (3) incorporate by reference the updated Canadian Electrical Code (CA-CAN/CSA-C22.1:21). The first effective date of the document that makes the change is October 1, 2022. More information about the change, including any additional effective dates, is available &lt;a href="https://www.bclaws.gov.bc.ca/civix/document/id/mo/mo/m0241_2022" target="_blank"&gt;here&lt;/a&gt;.</t>
  </si>
  <si>
    <t>CA-AB-AB.Man012</t>
  </si>
  <si>
    <t>Manual 012: Energy Development Applications Procedures and Schedules</t>
  </si>
  <si>
    <t>CA-AB-AERbulletin2022-25</t>
  </si>
  <si>
    <t>Bulletin 2022-25: Geothermal Resource Development Rules and Directive 089: Geothermal Resource Development</t>
  </si>
  <si>
    <t>A change to this document has been announced. According to the Alberta Energy Regulator, the effect of this change is notably to add "guidance for geothermal applications (wells, facilities, pipelines), including how liability management will be applied to geothermal resource developments". The first effective date of the document that makes the change is August 15, 2022. More information about the change, including any additional effective dates, is available &lt;a href="https://nimonikapp.com/legislations/366650" target="_blank"&gt;here&lt;/a&gt;.</t>
  </si>
  <si>
    <t>CA-QC-Vol.154,No.33(3426)</t>
  </si>
  <si>
    <t>Hours of driving and rest of heavy vehicle drivers—Amendment</t>
  </si>
  <si>
    <t>CA-Vol.156,No.33(4615)</t>
  </si>
  <si>
    <t>Ministerial Condition No. 21193</t>
  </si>
  <si>
    <t>CA-Vol.156,No.32(4470)</t>
  </si>
  <si>
    <t>Order 2022-87-06-02 Amending the Non-domestic Substances List</t>
  </si>
  <si>
    <t>CA-SOR/2022-180</t>
  </si>
  <si>
    <t>Order 2022-87-06-01 Amending the Domestic Substances List</t>
  </si>
  <si>
    <t>CA-FEQG</t>
  </si>
  <si>
    <t>Federal Environmental Quality Guidelines - Summary Table</t>
  </si>
  <si>
    <t>CA-Vol.156,No.34(4653)</t>
  </si>
  <si>
    <t>Federal Environmental Quality Guidelines for aluminium, selenium and siloxane D4</t>
  </si>
  <si>
    <t>A change to this document has been announced. Federal environmental quality guidelines (FEQGs) for aluminium, selenium and siloxane D4 are now available. The first effective date of the document that makes the change is August 20, 2022. More information about the change, including any additional effective dates, is available &lt;a href="https://canadagazetteducanada.gc.ca/rp-pr/p1/2022/2022-08-20/html/notice-avis-eng.html#ne1" target="_blank"&gt;here&lt;/a&gt;.</t>
  </si>
  <si>
    <t>CA-SOR/2022-181</t>
  </si>
  <si>
    <t>Order 2022-112-06-01 Amending the Domestic Substances List</t>
  </si>
  <si>
    <t>CA-SOR/2022-183</t>
  </si>
  <si>
    <t>Order 2022-87-23-01 Amending the Domestic Substances List</t>
  </si>
  <si>
    <t>RSQ,cS-2.2</t>
  </si>
  <si>
    <t>CA-QC-OC1472-2022</t>
  </si>
  <si>
    <t>Act concerning mainly the appointment and the terms of office of coroners and of the Chief Coroner (2020, chapter 20)—Coming into force of the Act</t>
  </si>
  <si>
    <t>An Act amending this document is coming into force on November 1, 2022. More information about the change, including any additional effective dates, is available &lt;a href="https://www2.publicationsduquebec.gouv.qc.ca/dynamicSearch/telecharge.php?type=1&amp;file=105954.pdf" target="_blank"&gt;here&lt;/a&gt; and &lt;a href="https://www2.publicationsduquebec.gouv.qc.ca/dynamicSearch/telecharge.php?type=5&amp;file=2020C20A.PDF" target="_blank"&gt;here&lt;/a&gt;.</t>
  </si>
  <si>
    <t>CA-SOR/2022-184</t>
  </si>
  <si>
    <t>RRQ,cQ-2,r43</t>
  </si>
  <si>
    <t>Regulation respecting the charges payable for the disposal of residual materials</t>
  </si>
  <si>
    <t>CA-QC-OC1458-2022</t>
  </si>
  <si>
    <t>Regulation to amend the Regulation respecting the charges payable for the disposal of residual materials</t>
  </si>
  <si>
    <t>A change to this document has been announced. The effect of this change is notably to:&lt;li&gt;expand the rules' applicability to certain residual materials transfer stations referred to in the Regulation respecting the landfilling and incineration of residual materials (RRQ,cQ-2,r19);&lt;li&gt;increase fees payable for residual materials received for disposal;&lt;li&gt;establish fees and exemptions from fees for certain types of residual materials covered by RRQ,cQ-2,r19; and&lt;li&gt;provide that certain fees are payable via electronic payment.&lt;ul&gt;&lt;/ul&gt; The first effective date of the document that makes the change is January 1, 2023. More information about the change, including any additional effective dates, is available &lt;a href="https://www2.publicationsduquebec.gouv.qc.ca/dynamicSearch/telecharge.php?type=1&amp;file=105939.pdf" target="_blank"&gt;here&lt;/a&gt;.</t>
  </si>
  <si>
    <t>RRQ,cQ-2,r26</t>
  </si>
  <si>
    <t>Agricultural Operations Regulation</t>
  </si>
  <si>
    <t>CA-QC-OC1460-2022</t>
  </si>
  <si>
    <t>Regulation to amend the Agricultural Operations Regulation</t>
  </si>
  <si>
    <t>A change to this document has been announced. The effect of this change is notably to permit certain raising site operators to raise the site's annual phosphorus production by using a nutrient balance method, under certain established conditions. It also permits crop cultivation in areas previously occupied by a ditch, farm road, building or man-made rock pile in a raising or spreading site in certain municipalities, under certain established conditions, including that the cultivation is outside the littoral zone of a lake or watercourse and a 3-metre strip from it. The first effective date of the document that makes the change is September 1, 2022. More information about the change, including any additional effective dates, is available &lt;a href="https://www2.publicationsduquebec.gouv.qc.ca/dynamicSearch/telecharge.php?type=1&amp;file=105941.pdf" target="_blank"&gt;here&lt;/a&gt;.</t>
  </si>
  <si>
    <t>CA-QC-OC1461-2022(3)</t>
  </si>
  <si>
    <t>Regulation to amend the Regulation respecting the regulatory scheme applying to activities on the basis of their environmental impact</t>
  </si>
  <si>
    <t>RRQ,cQ-2,r12</t>
  </si>
  <si>
    <t>Regulation respecting biomedical waste</t>
  </si>
  <si>
    <t>CA-QC-OC1461-2022(2)</t>
  </si>
  <si>
    <t>Regulation to amend the Regulation respecting biomedical waste</t>
  </si>
  <si>
    <t>A change to this document has been announced. The effect of this change is to provide that certain provisions concerning the safe disposal of hazardous waste apply to sharp medical objects from the raising of animals. The first effective date of the document that makes the change is February 13, 2023. More information about the change, including any additional effective dates, is available &lt;a href="https://www2.publicationsduquebec.gouv.qc.ca/dynamicSearch/telecharge.php?type=1&amp;file=105942.pdf" target="_blank"&gt;here&lt;/a&gt;.</t>
  </si>
  <si>
    <t>CA-QC-OC871-2020(3)</t>
  </si>
  <si>
    <t>Regulation respecting the reclamation of residual materials</t>
  </si>
  <si>
    <t>CA-QC-OC1461-2022(5)</t>
  </si>
  <si>
    <t>Regulation to amend the Regulation respecting the reclamation of residual materials</t>
  </si>
  <si>
    <t>A change to this document has been announced. The effect of this change is notably to update requirements "for the characterization of residual granular materials and the types of uses allowed for those materials". The first effective date of the document that makes the change is February 13, 2023. More information about the change, including any additional effective dates, is available &lt;a href="https://www2.publicationsduquebec.gouv.qc.ca/dynamicSearch/telecharge.php?type=1&amp;file=105942.pdf" target="_blank"&gt;here&lt;/a&gt; beginning on page 3276 of the Gazette and &lt;a href="https://nimonikapp.com/legislations/347060" target="_blank"&gt;here&lt;/a&gt;.</t>
  </si>
  <si>
    <t>RRQ,cQ-2,r19</t>
  </si>
  <si>
    <t>Regulation respecting the landfilling and incineration of residual materials</t>
  </si>
  <si>
    <t>CA-QC-OC1463-2022(1)</t>
  </si>
  <si>
    <t>Regulation to amend the Regulation respecting the landfilling and incineration of residual materials</t>
  </si>
  <si>
    <t>A change to this document has been announced. The first effective date of the document that makes the change is September 1, 2022. More information about the change, including any additional effective dates, is available &lt;a href="https://www2.publicationsduquebec.gouv.qc.ca/dynamicSearch/telecharge.php?type=1&amp;file=105944.pdf" target="_blank"&gt;here&lt;/a&gt; beginning on page 3370 of the Gazette.</t>
  </si>
  <si>
    <t>RRQ,cP-29,r1</t>
  </si>
  <si>
    <t>Regulation respecting food</t>
  </si>
  <si>
    <t>CA-QC-OC1463-2022(2)</t>
  </si>
  <si>
    <t>Regulation to amend the Regulation respecting food</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</si>
  <si>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href="https://www2.publicationsduquebec.gouv.qc.ca/dynamicSearch/telecharge.php?type=1&amp;file=105944.pdf" target="_blank"&gt;here&lt;/a&gt;.</t>
  </si>
  <si>
    <t>CA-Vol.156,No.31(4438)</t>
  </si>
  <si>
    <t>Interim Order Respecting Certain Requirements for Civil Aviation Due to COVID-19, No. 68</t>
  </si>
  <si>
    <t>This document is being replaced by the Interim Order Respecting Certain Requirements for Civil Aviation Due to COVID-19, No. 69 (CA-Vol.156,No.33(4620)). The first effective date of the document that makes the change is August 3, 2022. More information about the change, including any additional effective dates, is available &lt;a href="https://canadagazetteducanada.gc.ca/rp-pr/p1/2022/2022-08-13/html/notice-avis-eng.html#na4" target="_blank"&gt;here&lt;/a&gt;.</t>
  </si>
  <si>
    <t>RRScs-15.1Reg3</t>
  </si>
  <si>
    <t>The Minimum Wage Regulations, 2014</t>
  </si>
  <si>
    <t>CA-SK-SR61/2022</t>
  </si>
  <si>
    <t>The Minimum Wage Amendment Regulations, 2022</t>
  </si>
  <si>
    <t>A change to this document has been announced. The first effective date of the document that makes the change is October 1, 2022. More information about the change, including any additional effective dates, is available &lt;a href="https://publications.saskatchewan.ca/api/v1/products/118579/formats/136293/download" target="_blank"&gt;here&lt;/a&gt;.</t>
  </si>
  <si>
    <t>CA-AB-AR161/2022</t>
  </si>
  <si>
    <t>Designated Trades and Restricted Activities Regulation</t>
  </si>
  <si>
    <t>Alta.Reg.102/1985</t>
  </si>
  <si>
    <t>Provincial Parks (General) Regulation</t>
  </si>
  <si>
    <t>CA-AB-AR162/2022</t>
  </si>
  <si>
    <t>Provincial Parks (General) Amendment Regulation</t>
  </si>
  <si>
    <t>A change to this document has been announced. The effect of this change is to incorporate by reference the Provincial Parks (General) Directive, which governs the dressing and storing big game, feeding wildlife, baiting wildlife in provincial, and control of animals by owners in provincial parks and recreation areas. The first effective date of the document that makes the change is September 15, 2022. More information about the change, including any additional effective dates, is available &lt;a href="https://www.qp.alberta.ca/documents/gazette/2022/pdf/14_Jul30_Part2.pdf" target="_blank"&gt;here&lt;/a&gt;.</t>
  </si>
  <si>
    <t>Alta.Reg.121/2009</t>
  </si>
  <si>
    <t>Commercial Vehicle Safety</t>
  </si>
  <si>
    <t>CA-AB-AR164/2022</t>
  </si>
  <si>
    <t>Commercial Vehicle Safety Amendment Regulation</t>
  </si>
  <si>
    <t>A change to this document has been announced. The first effective date of the document that makes the change is December 1, 2022. More information about the change, including any additional effective dates, is available &lt;a href="https://www.qp.alberta.ca/documents/gazette/2022/pdf/14_Jul30_Part2.pdf" target="_blank"&gt;here&lt;/a&gt;.</t>
  </si>
  <si>
    <t>SNL2008,cF-11.01</t>
  </si>
  <si>
    <t>Fire Protection Services Act</t>
  </si>
  <si>
    <t>CA-NL-NLR46/22</t>
  </si>
  <si>
    <t>Proclamation of the Emergency 911 Act, 2022</t>
  </si>
  <si>
    <t>CA-AB-AR168/2022</t>
  </si>
  <si>
    <t>Vehicle Equipment Amendment Regulation</t>
  </si>
  <si>
    <t>AltaReg211/2006</t>
  </si>
  <si>
    <t>Vehicle Inspection Regulation</t>
  </si>
  <si>
    <t>CA-AB-AR167/2022</t>
  </si>
  <si>
    <t>Vehicle Inspection Amendment Regulation</t>
  </si>
  <si>
    <t>A change to this document has been announced. The effect of this change is notably to remove requirements (1) that certain persons report a vehicle's type, licence plate number, and cause of damage after it becomes a salvage motor vehicle or has its certificate revoked, and (2) to return to the Registrar a vehicle's certificate of registration after it becomes a salvage motor vehicle. It also revises the duties of technicians who complete a vehicle certificate or inspection of a vehicle. The first effective date of the document that makes the change is December 1, 2022. More information about the change, including any additional effective dates, is available &lt;a href="https://www.qp.alberta.ca/documents/gazette/2022/pdf/14_Jul30_Part2.pdf" target="_blank"&gt;here&lt;/a&gt;.</t>
  </si>
  <si>
    <t>CA-AB-AltaReg314/2002</t>
  </si>
  <si>
    <t>Commercial Vehicle Certificate and Insurance Regulation</t>
  </si>
  <si>
    <t>CA-AB-AR165/2022</t>
  </si>
  <si>
    <t>Commercial Vehicle Certificate and Insurance Amendment Regulation</t>
  </si>
  <si>
    <t>A change to this document has been announced. The effect of this change is to repeal amendments to record-keeping requirements for carrier profiles and driver record files under certain safety fitness certificates, made by the Commercial Vehicle Certificate and Insurance Amendment Regulation (CA-AB-AR220/2021), which had not yet come into force. The first effective date of the document that makes the change is May 11, 2022. More information about the change, including any additional effective dates, is available &lt;a href="https://www.qp.alberta.ca/documents/gazette/2022/pdf/10_May31_Part2.pdf" target="_blank"&gt;here&lt;/a&gt; on page 272 of the Gazette (page 34 of this PDF). The repealed amendments are available &lt;a href="https://www.qp.alberta.ca/documents/gazette/2021/pdf/23_Dec15_Part2.pdf" target="_blank"&gt;here&lt;/a&gt; on page 1112 of the Gazette (page 38 of the PDF).</t>
  </si>
  <si>
    <t>CA-AB-AR338/2009</t>
  </si>
  <si>
    <t>Industrial Railway Regulations</t>
  </si>
  <si>
    <t>CA-AB-AR170/2022</t>
  </si>
  <si>
    <t>Industrial Railway Amendment Regulation</t>
  </si>
  <si>
    <t>A change to this document has been announced. The effect of this change is notably to (1) remove certain radio communication speaker identification requirements and the requirement that an industrial railway operator report on corrective actions to a violation or defect to the Railway Administrator within a set timeframe, (2) require that locomotive safety appliances be in compliance with the federal Railway Safety Appliance Standards Regulations (CRC,c1171), and (3) remove winches from the definitions of "engine" as they apply to critical positions rules and safe industrial railway operations. The first effective date of the document that makes the change is November 1, 2022. More information about the change, including any additional effective dates, is available &lt;a href="https://www.qp.alberta.ca/documents/gazette/2022/pdf/14_Jul30_Part2.pdf" target="_blank"&gt;here&lt;/a&gt;.</t>
  </si>
  <si>
    <t>CA-QC-Vol.154,No.31(3203)(2)</t>
  </si>
  <si>
    <t>Boisé-des-Terres-Noires Nature Reserve—Recognition</t>
  </si>
  <si>
    <t>CA-QC-Vol.154,No.31(3203)(1)</t>
  </si>
  <si>
    <t>Aigle-Blanc Nature Reserve—Recognition</t>
  </si>
  <si>
    <t>SNB1998,cP-22.4</t>
  </si>
  <si>
    <t>CA-NB-Vol.180(745)</t>
  </si>
  <si>
    <t>Proclamation of An Act to Amend the Public Health Act</t>
  </si>
  <si>
    <t>An Act amending this document is coming into force on August 1, 2022. It notably adds new requirements concerning water circulation systems such as licensing and the duties to operate and maintain them. More information about the change, including any additional effective dates, is available &lt;a href="https://www2.gnb.ca/content/dam/gnb/Corporate/Gazette/2022/rg-2022-08-03.pdf" target="_blank"&gt;here&lt;/a&gt;.</t>
  </si>
  <si>
    <t>CA-NB-SNB2018,c2</t>
  </si>
  <si>
    <t>Cannabis Control Act</t>
  </si>
  <si>
    <t>CA-NB-Vol.180(746)</t>
  </si>
  <si>
    <t>Proclamation of An Act Respecting the Retail Sale of Cannabis</t>
  </si>
  <si>
    <t>An Act amending this document is coming into force on September 1, 2022. It notably provides that this document is not applicable to activities in respect of industrial hemp or activities in respect of a drug containing cannabis that is authorized for sale under the federal Food and Drugs Act (CA-RSC1985,cF-27). More information about the change, including any additional effective dates, is available &lt;a href="https://www2.gnb.ca/content/dam/gnb/Corporate/Gazette/2022/rg-2022-08-03.pdf" target="_blank"&gt;here&lt;/a&gt;.</t>
  </si>
  <si>
    <t>CA-NB-SNB2018,c3</t>
  </si>
  <si>
    <t>Cannabis Management Corporation Act</t>
  </si>
  <si>
    <t>An Act amending this document is coming into force on September 1, 2022. More information about the change, including any additional effective dates, is available &lt;a href="https://www2.gnb.ca/content/dam/gnb/Corporate/Gazette/2022/rg-2022-08-03.pdf" target="_blank"&gt;here&lt;/a&gt;.</t>
  </si>
  <si>
    <t>CA-NB-SNB2022,c5,s3</t>
  </si>
  <si>
    <t>Cannabis Retailers Licensing Act</t>
  </si>
  <si>
    <t>This Act is coming into force on September 1, 2022. It establishes requirements for cannabis retailer licence holders, such as how to obtain, maintain and renew a licence. It additionally provides requirements for the operation of cannabis retail outlets which includes a minimum age requirement to access the outlets, requirements for the purchase, sale, and distribution of cannabis and cannabis accessories, the display and advertising of cannabis, and recordkeeping. More information about the change, including any additional effective dates, is available &lt;a href="https://www2.gnb.ca/content/dam/gnb/Corporate/Gazette/2022/rg-2022-08-03.pdf" target="_blank"&gt;here&lt;/a&gt;.</t>
  </si>
  <si>
    <t>CA-SOR/2022-178</t>
  </si>
  <si>
    <t>Order 2022-87-24-01 Amending the Domestic Substances List</t>
  </si>
  <si>
    <t>CA-SOR/2022-179</t>
  </si>
  <si>
    <t>Order 2022-87-05-01 Amending the Domestic Substances List</t>
  </si>
  <si>
    <t>CA-Vol.156,No.31(4434)</t>
  </si>
  <si>
    <t>Order 2022-87-05-02 Amending the Non-domestic Substances List</t>
  </si>
  <si>
    <t>CA-SOR/2022-173</t>
  </si>
  <si>
    <t>SOR/2008-120</t>
  </si>
  <si>
    <t>Vessel Operation Restriction Regulations</t>
  </si>
  <si>
    <t>CA-SOR/2022-175</t>
  </si>
  <si>
    <t>Regulations Amending the Vessel Operation Restriction Regulations</t>
  </si>
  <si>
    <t>A change to this document has been announced. The first effective date of the document that makes the change is July 15, 2022. More information about the change, including any additional effective dates, is available &lt;a href="https://canadagazetteducanada.gc.ca/rp-pr/p2/2022/2022-08-03/html/sor-dors175-eng.html" target="_blank"&gt;here&lt;/a&gt;.</t>
  </si>
  <si>
    <t>CA-Vol.156,No.30(4399)</t>
  </si>
  <si>
    <t>Interim Order Respecting Certain Requirements for Civil Aviation Due to COVID-19, No. 67</t>
  </si>
  <si>
    <t>This document is being replaced by the Interim Order Respecting Certain Requirements for Civil Aviation Due to COVID-19, No. 68 (CA-Vol.156,No.31(4438)). The first effective date of the document that makes the change is July 21, 2022. More information about the change, including any additional effective dates, is available &lt;a href="https://canadagazetteducanada.gc.ca/rp-pr/p1/2022/2022-07-30/html/notice-avis-eng.html#na3" target="_blank"&gt;here&lt;/a&gt;.</t>
  </si>
  <si>
    <t>NBReg2013-38</t>
  </si>
  <si>
    <t>List of Species at Risk Regulation</t>
  </si>
  <si>
    <t>CA-NB-NBReg2022-48</t>
  </si>
  <si>
    <t>List of Species at Risk Regulation 2022-07-27 Amendments</t>
  </si>
  <si>
    <t>A change to this document has been announced. The effect of this change is notably to:
&lt;ul&gt;&lt;/ul&gt;
&lt;li&gt; add Bumble Bee, Bohemian Cuckoo (Bombus bohemicus) and Lichen, Wrinkled Shingle (Pannaria lurida) to the list of endangered species;
&lt;li&gt; move Flycatcher, Olivesided (Contopus cooperi) from the list of threatened species to the list of endangered species; and
&lt;li&gt; move Monarch (Danaus plexippus) and Pinweed, Beach (Lechea maritima) from the list of species of special concern to the list of endangered species.&lt;ul&gt;&lt;/ul&gt; The first effective date of the document that makes the change is July 27, 2022. More information about the change, including any additional effective dates, is available &lt;a href="https://www2.gnb.ca/content/dam/gnb/Departments/ag-pg/PDF/RegulationsReglements/2022/2022-48.pdf" target="_blank"&gt;here&lt;/a&gt;.</t>
  </si>
  <si>
    <t>RRScW-13.2Reg4</t>
  </si>
  <si>
    <t>The Wildlife Habitat and Ecological Lands Designation Regulations</t>
  </si>
  <si>
    <t>CA-SK-SR55/2022</t>
  </si>
  <si>
    <t>The Wildlife Habitat and Ecological Lands Designation Amendment Regulations, 2022 (No. 2)</t>
  </si>
  <si>
    <t>A change to this document has been announced. The effect of this change is notably to revise the list of designated wildlife habitat and ecological lands in:&lt;ul&gt;&lt;/ul&gt;
&lt;li&gt; Township 1 Range 12;
&lt;li&gt; Township 2 Range 9;
&lt;li&gt; Township 6 Range 1;
&lt;li&gt; Township 8 Ranges 22 and 23;
&lt;li&gt; Township 10 Range 7;
&lt;li&gt; Township 12 Range 32;
&lt;li&gt; Township 16 Ranges 4 and 5;
&lt;li&gt; Township 18 Range 30;
&lt;li&gt; Township 25 Range 24;
&lt;li&gt; Township 34 Range 20;
&lt;li&gt; Township 36 Range 20;
&lt;li&gt; Township 39 Range 11;
&lt;li&gt; Township 41 Range 14;
&lt;li&gt; Township 47 Range 12;
&lt;li&gt; Township 49 Range 5;
&lt;li&gt; Township 50 Range 4;
&lt;li&gt; Township 51 Range 23;
&lt;li&gt; Township 52 Ranges 13 and 7;
&lt;li&gt; Township 54 Range 5; and
&lt;li&gt; Township 61 Range 15.&lt;ul&gt;&lt;/ul&gt;
It also removes the northwest quarter of Section 25, in Township 14 Range 18, west of the Third Meridian from the list.&lt;ul&gt;&lt;/ul&gt; The first effective date of the document that makes the change is July 21, 2022. More information about the change, including any additional effective dates, is available &lt;a href="https://publications.saskatchewan.ca/api/v1/products/118478/formats/136162/download" target="_blank"&gt;here&lt;/a&gt;.</t>
  </si>
  <si>
    <t>CA-NB-Prop2022-07-28</t>
  </si>
  <si>
    <t>Amendments to the Designated Materials Regulation – Clean Environment Act</t>
  </si>
  <si>
    <t>CA-BC-BCReg228/2020</t>
  </si>
  <si>
    <t>Old Growth Designated Area No. 1</t>
  </si>
  <si>
    <t>CA-BC-BCReg173/2022</t>
  </si>
  <si>
    <t>Old Growth Designated Area No. 1 2022-07-26 Amendments</t>
  </si>
  <si>
    <t>CA-NL-NLR43/22</t>
  </si>
  <si>
    <t>Occupational Health and Safety Regulations, 2012 (Amendment)</t>
  </si>
  <si>
    <t>NSReg217/2012</t>
  </si>
  <si>
    <t>Personal Health Information Regulations</t>
  </si>
  <si>
    <t>CA-NS-NSReg186/2022</t>
  </si>
  <si>
    <t>Personal Health Information Regulations–amendment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</si>
  <si>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href="https://novascotia.ca/just/regulations/rg2/2022/RG2-2022-07-29.pdf" target="_blank"&gt;here&lt;/a&gt;.</t>
  </si>
  <si>
    <t>CA-Vol.156,No.30(4392)</t>
  </si>
  <si>
    <t>Publication of final decision after screening assessment of 12 substances of the Resins and Rosins Group specified on the Domestic Substances List (paragraphs 68(b) and (c) or subsection 77(6) of the Canadian Environmental Protection Act, 1999)</t>
  </si>
  <si>
    <t>CA-YT-FSO2022/001</t>
  </si>
  <si>
    <t>Forest Supervisor Order 2022/001</t>
  </si>
  <si>
    <t>CA-YT-FSO2022/02</t>
  </si>
  <si>
    <t>Forest Supervisor Order 2022/02</t>
  </si>
  <si>
    <t>This document has been repealed. The effect of this change is to remove the prohibition on starting all open fires, including campfires, in Yukon. The first effective date of the document that makes the change is July 13, 2022. More information about the change, including any additional effective dates, is available &lt;a href="https://laws.yukon.ca/cms/images/LEGISLATION/SUBORDINATE/2022/2022-F002/2022-F002_1.pdf" target="_blank"&gt;here&lt;/a&gt;.</t>
  </si>
  <si>
    <t>RSQ,cC-24.2</t>
  </si>
  <si>
    <t>Highway Safety Code</t>
  </si>
  <si>
    <t>CA-QC-SQ2022,c22</t>
  </si>
  <si>
    <t>An Act respecting family law reform with regard to filiation and amending the Civil Code in relation to personality rights and civil status</t>
  </si>
  <si>
    <t>A change to this document has been announced. The effect of this change is notably to require "drivers of heavy vehicles to use an electronic logging device to record their hours of service and hours of rest and [prescribe] the responsibilities of drivers and operators of heavy vehicles with regard to such a device". The first effective date of the document that makes the change is August 1, 2019. More information about the change, including any additional effective dates, is available &lt;a href="https://www2.publicationsduquebec.gouv.qc.ca/dynamicSearch/telecharge.php?type=5&amp;file=2022C13A.PDF" target="_blank"&gt;here&lt;/a&gt; on page 20.</t>
  </si>
  <si>
    <t>RSQ,cA-3.001</t>
  </si>
  <si>
    <t>An Act respecting industrial accidents and occupational diseases</t>
  </si>
  <si>
    <t>A change to this document has been announced. The first effective date of the document that makes the change is June 8, 2022. More information about the change, including any additional effective dates, is available &lt;a href="https://www2.publicationsduquebec.gouv.qc.ca/dynamicSearch/telecharge.php?type=5&amp;file=2022C22A.PDF" target="_blank"&gt;here&lt;/a&gt; on page 46.</t>
  </si>
  <si>
    <t>RSQ,cN-1.1</t>
  </si>
  <si>
    <t>An Act respecting labour standards</t>
  </si>
  <si>
    <t>A change to this document has been announced. The first effective date of the document that makes the change is June 8, 2022. More information about the change, including any additional effective dates, is available &lt;a href="https://www2.publicationsduquebec.gouv.qc.ca/dynamicSearch/telecharge.php?type=5&amp;file=2022C22A.PDF" target="_blank"&gt;here&lt;/a&gt; beginning on page 30.</t>
  </si>
  <si>
    <t>RSQ,cC-12</t>
  </si>
  <si>
    <t>Charter of human rights and freedoms</t>
  </si>
  <si>
    <t>A change to this document has been announced. The first effective date of the document that makes the change is June 1, 2022. More information about the change, including any additional effective dates, is available &lt;a href="https://www2.publicationsduquebec.gouv.qc.ca/dynamicSearch/telecharge.php?type=5&amp;file=2022C14A.PDF" target="_blank"&gt;here&lt;/a&gt; on page 86.</t>
  </si>
  <si>
    <t>LRQ,cC-1991</t>
  </si>
  <si>
    <t>Civil Code of Québec</t>
  </si>
  <si>
    <t>A change to this document has been announced. The first effective date of the document that makes the change is June 8, 2022. More information about the change, including any additional effective dates, is available &lt;a href="https://www2.publicationsduquebec.gouv.qc.ca/dynamicSearch/telecharge.php?type=5&amp;file=2022C22A.PDF" target="_blank"&gt;here&lt;/a&gt; beginning on page 7.</t>
  </si>
  <si>
    <t>CA-YT-YOIC2022/63</t>
  </si>
  <si>
    <t>High Risk Residential Setting (COVID-19) Vaccination Policy Regulation</t>
  </si>
  <si>
    <t>CA-YT-OIC2022/126</t>
  </si>
  <si>
    <t>Regulation to Repeal the High Risk Residential Setting (COVID-19) Vaccination Policy Regulation and the Public Services (COVID-19) Vaccination Regulation</t>
  </si>
  <si>
    <t>This document has been repealed. The effect of this change is notably to remove rules requiring certain employers in healthcare and high-risk residential settings to establish a COVID-19 vaccination policy requiring employees, volunteers, and contractors to provide an attestation or proof of vaccination or a valid exemption. The first effective date of the document that makes the change is July 14, 2022. More information about the change, including any additional effective dates, is available &lt;a href="https://laws.yukon.ca/cms/images/LEGISLATION/SUBORDINATE/2022/2022-0126/2022-0126_1.pdf" target="_blank"&gt;here&lt;/a&gt;.</t>
  </si>
  <si>
    <t>CA-ON-OReg228/20</t>
  </si>
  <si>
    <t>Infectious Disease Emergency Leave</t>
  </si>
  <si>
    <t>CA-ON-OReg464/22</t>
  </si>
  <si>
    <t>Amending O. Reg. 228/20 (Infectious Disease Emergency Leave)</t>
  </si>
  <si>
    <t>A change to this document has been announced. The first effective date of the document that makes the change is July 21, 2022. More information about the change, including any additional effective dates, is available &lt;a href="https://www.ontario.ca/laws/regulation/r22464" target="_blank"&gt;here&lt;/a&gt;.</t>
  </si>
  <si>
    <t>CA-Vol.156,No.28(4198)</t>
  </si>
  <si>
    <t>Interim Order Respecting Certain Requirements for Civil Aviation Due to COVID-19, No. 66</t>
  </si>
  <si>
    <t>This document is being replaced by the Interim Order Respecting Certain Requirements for Civil Aviation Due to COVID-19, No. 67 (CA-Vol.156,No.30(4399)). The first effective date of the document that makes the change is July 8, 2022. More information about the change, including any additional effective dates, is available &lt;a href="https://canadagazetteducanada.gc.ca/rp-pr/p1/2022/2022-07-23/html/notice-avis-eng.html#nb2" target="_blank"&gt;here&lt;/a&gt;.</t>
  </si>
  <si>
    <t>NLR.81/01</t>
  </si>
  <si>
    <t>Vehicles Regulations, 2001</t>
  </si>
  <si>
    <t>CA-NL-NLR40/22</t>
  </si>
  <si>
    <t>Vehicles Regulations, 2001 (Amendment)</t>
  </si>
  <si>
    <t>A change to this document has been announced. The first effective date of the document that makes the change is July 22, 2022. More information about the change, including any additional effective dates, is available &lt;a href="https://www.assembly.nl.ca/legislation/sr/annualregs/2022/nr220040.htm" target="_blank"&gt;here&lt;/a&gt;.</t>
  </si>
  <si>
    <t>CA-NT-Prop2022-07-07</t>
  </si>
  <si>
    <t>Have Your Say: NWT Mineral Resource Act Regulations</t>
  </si>
  <si>
    <t>CA-QC-Vol.154,No.29(4853)</t>
  </si>
  <si>
    <t>Bois-de-Brossard Nature Reserve (Ville de Brossard sector) -Recognition</t>
  </si>
  <si>
    <t>NS.Reg.25/96</t>
  </si>
  <si>
    <t>Solid Waste-Resource Management Regulations</t>
  </si>
  <si>
    <t>CA-NS-NSReg125/2022</t>
  </si>
  <si>
    <t>Solid Waste-Resource Management Regulations–amendment</t>
  </si>
  <si>
    <t>A change to this document has been announced. The effect of this change is notably to prohibit any person from owning, managing, operating, altering, or modifying storage, transferring, or processing site for construction and demolition (C&amp;D) debris unless they have obtained approval from the Minister of Environment. The change also prohibits any person from disposing of treated wood at a C&amp;D disposal site. The first effective date of the document that makes the change is July 5, 2023. More information about the change, including any additional effective dates, is available &lt;a href="https://novascotia.ca/just/regulations/rg2/2022/RG2-2022-07-15.pdf" target="_blank"&gt;here&lt;/a&gt; on page 351 of the Gazette.</t>
  </si>
  <si>
    <t>NS.Reg.47/95</t>
  </si>
  <si>
    <t>Activities Designation Regulations</t>
  </si>
  <si>
    <t>CA-NS-NSReg124/2022</t>
  </si>
  <si>
    <t>Activities Designation Regulations–amendment</t>
  </si>
  <si>
    <t>A change to this document has been announced. The effect of this change is notably to include facilities for transferring, storing, or processing construction and demolition debris within the definition of "solid waste management facility." Consequently, the construction, operation, or reclamation of such facilities is designated as an activity under the regulations. The first effective date of the document that makes the change is July 5, 2023. More information about the change, including any additional effective dates, is available &lt;a href="https://novascotia.ca/just/regulations/rg2/2022/RG2-2022-07-15.pdf" target="_blank"&gt;here&lt;/a&gt; on page 350 of the Gazette.</t>
  </si>
  <si>
    <t>CA-SOR/2022-169</t>
  </si>
  <si>
    <t>Regulations Amending the Food and Drug Regulations and the Cannabis Regulations (Supplemented Foods)</t>
  </si>
  <si>
    <t>CA-SOR/2022-168</t>
  </si>
  <si>
    <t>Regulations Amending the Food and Drug Regulations (Nutrition Symbols, Other Labelling Provisions, Vitamin D and Hydrogenated Fats or Oils)</t>
  </si>
  <si>
    <t>CA-SOR/2022-170</t>
  </si>
  <si>
    <t>CA-SOR/2022-172</t>
  </si>
  <si>
    <t>CA-SOR/2022-171</t>
  </si>
  <si>
    <t>RSQ,cS-22.01</t>
  </si>
  <si>
    <t>An Act respecting the Société québécoise de récupération et de recyclage</t>
  </si>
  <si>
    <t>RSQ,cS-6.2</t>
  </si>
  <si>
    <t>An Act respecting pre-hospital emergency services</t>
  </si>
  <si>
    <t>RSQ,cS-3.4</t>
  </si>
  <si>
    <t>RSQ,cS-2.1</t>
  </si>
  <si>
    <t>An Act respecting Occupational Health and Safety</t>
  </si>
  <si>
    <t>A change to this document has been announced. The effect of this change is to clarify that any translation of a hazardous product's label, sign, or safety data sheet "must not prevail over the French text or be more accessible on more favourable terms". The first effective date of the document that makes the change is June 1, 2022. More information about the change, including any additional effective dates, is available &lt;a href="https://www2.publicationsduquebec.gouv.qc.ca/dynamicSearch/telecharge.php?type=5&amp;file=2022C14A.PDF" target="_blank"&gt;here&lt;/a&gt; on page 91.</t>
  </si>
  <si>
    <t>RSQ,cB-1.1</t>
  </si>
  <si>
    <t>Building Act</t>
  </si>
  <si>
    <t>CA-BC-BCReg165/2022</t>
  </si>
  <si>
    <t>Enacting various Provincial heritage properties and Provincial heritage sites</t>
  </si>
  <si>
    <t>CA-Vol.156,No.29(4322)</t>
  </si>
  <si>
    <t>Ministerial Condition No. 21114</t>
  </si>
  <si>
    <t>AltaReg325/2002</t>
  </si>
  <si>
    <t>Workers' Compensation Regulation</t>
  </si>
  <si>
    <t>CA-AB-AR157/2022</t>
  </si>
  <si>
    <t>Skilled Trades and Apprenticeship Education Act (Consequential Amendments) Amendment Regulation</t>
  </si>
  <si>
    <t>Alta.Reg.169/2002</t>
  </si>
  <si>
    <t>Pressure Welders Regulation</t>
  </si>
  <si>
    <t>A change to this document has been announced. The first effective date of the document that makes the change is July 20, 2022. More information about the change, including any additional effective dates, is available &lt;a href="https://www.qp.alberta.ca/documents/gazette/2022/pdf/13_Jul15_Part2.pdf" target="_blank"&gt;here&lt;/a&gt; on page 698 of the Gazette.</t>
  </si>
  <si>
    <t>Alta.Reg.204/2007</t>
  </si>
  <si>
    <t>Permit Regulation</t>
  </si>
  <si>
    <t>A change to this document has been announced. The first effective date of the document that makes the change is July 20, 2022. More information about the change, including any additional effective dates, is available &lt;a href="https://www.qp.alberta.ca/documents/gazette/2022/pdf/13_Jul15_Part2.pdf" target="_blank"&gt;here&lt;/a&gt; on page 697 of the Gazette.</t>
  </si>
  <si>
    <t>Alta.Reg.181/2000</t>
  </si>
  <si>
    <t>Ozone-depleting Substances and Halocarbons Regulation</t>
  </si>
  <si>
    <t>A change to this document has been announced. The effect of this change is to require that persons servicing equipment that contains (or may contain) an ozone-depleting substance or halocarbon be authorized to do so under the Skilled Trades and Apprenticeship Education Act. The first effective date of the document that makes the change is July 20, 2022. More information about the change, including any additional effective dates, is available &lt;a href="https://www.qp.alberta.ca/documents/gazette/2022/pdf/13_Jul15_Part2.pdf" target="_blank"&gt;here&lt;/a&gt; on page 697 of the Gazette.</t>
  </si>
  <si>
    <t>CA-AB-AltaReg210/2001</t>
  </si>
  <si>
    <t>Motor Vehicle Propane Conversions Regulation</t>
  </si>
  <si>
    <t>A change to this document has been announced. The first effective date of the document that makes the change is July 20, 2022. More information about the change, including any additional effective dates, is available &lt;a href="https://www.qp.alberta.ca/documents/gazette/2022/pdf/13_Jul15_Part2.pdf" target="_blank"&gt;here&lt;/a&gt; on page 696 of the Gazette.</t>
  </si>
  <si>
    <t>Alta.Reg.192/2015</t>
  </si>
  <si>
    <t>Elevating Devices Codes Regulation</t>
  </si>
  <si>
    <t>A change to this document has been announced. The first effective date of the document that makes the change is July 20, 2022. More information about the change, including any additional effective dates, is available &lt;a href="https://www.qp.alberta.ca/documents/gazette/2022/pdf/13_Jul15_Part2.pdf" target="_blank"&gt;here&lt;/a&gt; on page 695 of the Gazette.</t>
  </si>
  <si>
    <t>Alta.Reg.295/2009</t>
  </si>
  <si>
    <t>Certification and Permit Regulation</t>
  </si>
  <si>
    <t>Alta.Reg.181/2014</t>
  </si>
  <si>
    <t>Overhead Door Technician Occupation Regulation</t>
  </si>
  <si>
    <t>CA-AB-AltaReg285/2006</t>
  </si>
  <si>
    <t>Designation of Occupations Regulation</t>
  </si>
  <si>
    <t>Alta.Reg.257/2000</t>
  </si>
  <si>
    <t>Apprenticeship and Industry Training Administration Regulation</t>
  </si>
  <si>
    <t>CA-QC-Vol.154,No.28(2592)</t>
  </si>
  <si>
    <t>Certificates of qualification and apprenticeship in electricity, pipe fitting and mechanical conveyor systems mechanics in sectors other than the construction industry—Amendment</t>
  </si>
  <si>
    <t>CA-SK-SS2022,c44</t>
  </si>
  <si>
    <t>The Traffic Safety Amendment Act, 2022</t>
  </si>
  <si>
    <t>CQLRcT-11.011</t>
  </si>
  <si>
    <t>Lobbying Transparency and Ethics Act</t>
  </si>
  <si>
    <t>CA-QC-OC1329-2022</t>
  </si>
  <si>
    <t>Act to transfer responsibility for the registry of lobbyists to the Lobbyists Commissioner and to implement the Charbonneau Commission recommendation on the prescription period for bringing penal proceedings (2019, chapter 13)—Coming into force of certain provisions</t>
  </si>
  <si>
    <t>Provisions of an Act amending this document are coming into force October 13, 2022. More information about the change, including any additional effective dates, is available &lt;a href="https://www2.publicationsduquebec.gouv.qc.ca/dynamicSearch/telecharge.php?type=1&amp;file=105890.pdf" target="_blank"&gt;here&lt;/a&gt; and &lt;a href="https://www2.publicationsduquebec.gouv.qc.ca/dynamicSearch/telecharge.php?type=5&amp;file=2019C13A.PDF" target="_blank"&gt;here&lt;/a&gt;.</t>
  </si>
  <si>
    <t>CA-NB-NBReg2022-39</t>
  </si>
  <si>
    <t>Water Circulation Systems Regulation – Public Health Act</t>
  </si>
  <si>
    <t>CA-NB-NBReg2022-40</t>
  </si>
  <si>
    <t>General Regulation – Cannabis Retailers Licensing Act</t>
  </si>
  <si>
    <t>CA-NB-Prop2022-06-24</t>
  </si>
  <si>
    <t>Amendments to the General Regulation under the Occupational Health and Safety Act – Phase II</t>
  </si>
  <si>
    <t>CA-Vol.156,No.28(4181)</t>
  </si>
  <si>
    <t>Ministerial Condition No. 21127</t>
  </si>
  <si>
    <t>CA-Vol.156,No.28(4191)</t>
  </si>
  <si>
    <t>Notice of intent to renew the Federal agenda on the reduction of emissions of volatile organic compounds from consumer and commercial products</t>
  </si>
  <si>
    <t>CA-SOR/2022-105</t>
  </si>
  <si>
    <t>Migratory Birds Regulations, 2022</t>
  </si>
  <si>
    <t>CA-SOR/2022-147</t>
  </si>
  <si>
    <t>Regulations Amending the Migratory Birds Regulations, 2022</t>
  </si>
  <si>
    <t>A change to this document has been announced. The effect of this change is, according to the government, notably to:&lt;ul&gt;&lt;/ul&gt;&lt;li&gt;remove the requirement that all permits, including the Migratory Game Bird Hunting Permit, be signed for them to be valid;&lt;li&gt;"adjust hunting season length, opening and closing season dates, daily bag limits and possession limits for hunting seasons 2022-23 and 2023-24" in certain hunting zones (within Prince Edward Island, Nova Scotia, New Brunswick, Manitoba, Saskatchewan, and Alberta) for geese, Canada Geese, and the White-fronted goose;&lt;li&gt;clarify "hunting zone descriptions for the provinces of Newfoundland and Labrador, New Brunswick, Quebec, Ontario, Manitoba, Saskatchewan, Alberta and British Columbia";&lt;li&gt;increase the daily bag limit for Canada Geese and Cackling Geese in Wildlife Management Unit 95 in the Southern Hunting District in Ontario; and&lt;li&gt;clarify the dates of Saskatchewan's open hunting season.&lt;ul&gt;&lt;/ul&gt; The first effective date of the document that makes the change is August 1, 2022. More information about the change, including any additional effective dates, is available &lt;a href="https://canadagazetteducanada.gc.ca/rp-pr/p2/2022/2022-07-06/html/sor-dors147-eng.html" target="_blank"&gt;here&lt;/a&gt;.</t>
  </si>
  <si>
    <t>CA-Vol.156,No.28(4183)</t>
  </si>
  <si>
    <t>Order 2022-87-04-02 Amending the Non-domestic Substances List</t>
  </si>
  <si>
    <t>CA-Vol.156,No.26(3889)</t>
  </si>
  <si>
    <t>Interim Order Respecting Certain Requirements for Civil Aviation Due to COVID-19, No. 65</t>
  </si>
  <si>
    <t>This document is being replaced by the Interim Order Respecting Certain Requirements for Civil Aviation Due to COVID-19, No. 66 (CA-Vol.156,No.28(4198)). The first effective date of the document that makes the change is June 27, 2022. More information about the change, including any additional effective dates, is available &lt;a href="https://canadagazetteducanada.gc.ca/rp-pr/p1/2022/2022-07-09/html/notice-avis-eng.html#na5" target="_blank"&gt;here&lt;/a&gt;.</t>
  </si>
  <si>
    <t>CA-SOR/99-141</t>
  </si>
  <si>
    <t>Canada Small Business Financing Regulations</t>
  </si>
  <si>
    <t>CA-SOR/2022-157</t>
  </si>
  <si>
    <t>Regulations Amending the Canada Small Business Financing Regulations</t>
  </si>
  <si>
    <t>A change to this document has been announced. The first effective date of the document that makes the change is July 4, 2022. More information about the change, including any additional effective dates, is available &lt;a href="https://canadagazetteducanada.gc.ca/rp-pr/p2/2022/2022-07-06/html/sor-dors157-eng.html" target="_blank"&gt;here&lt;/a&gt;.</t>
  </si>
  <si>
    <t>CA-SOR/2014-255</t>
  </si>
  <si>
    <t>Apprentice Loans Regulations</t>
  </si>
  <si>
    <t>CA-SOR/2022-141</t>
  </si>
  <si>
    <t>Regulations Amending the Canada Student Financial Assistance Regulations and the Apprentice Loans Regulations</t>
  </si>
  <si>
    <t>A change to this document has been announced. The first effective date of the document that makes the change is June 21, 2022. More information about the change, including any additional effective dates, is available &lt;a href="https://canadagazetteducanada.gc.ca/rp-pr/p2/2022/2022-07-06/html/sor-dors141-eng.html" target="_blank"&gt;here&lt;/a&gt;.</t>
  </si>
  <si>
    <t>CA-SOR/80-68</t>
  </si>
  <si>
    <t>Canadian Human Rights Benefit Regulations</t>
  </si>
  <si>
    <t>CA-SOR/2022-150</t>
  </si>
  <si>
    <t>Regulations Amending and Repealing Certain Regulations Made Under the Canadian Human Rights Act (Miscellaneous Program)</t>
  </si>
  <si>
    <t>CA-SOR/2022-145</t>
  </si>
  <si>
    <t>Regulations Amending the Cannabis Regulations (Listing Ingredients for Edible Cannabis)</t>
  </si>
  <si>
    <t>CA-SOR/2022-149</t>
  </si>
  <si>
    <t>Regulations Amending the Immigration and Refugee Protection Regulations (Immigration Loans Program)</t>
  </si>
  <si>
    <t>CA-SOR/2022-143</t>
  </si>
  <si>
    <t>Regulations Amending the Food and Drug Regulations</t>
  </si>
  <si>
    <t>CA-SOR/2022-142</t>
  </si>
  <si>
    <t>Regulations Amending the Immigration and Refugee Protection Regulations (Temporary Foreign Workers)</t>
  </si>
  <si>
    <t>SOR/2002-222</t>
  </si>
  <si>
    <t>Metal and Diamond Mining Effluent Regulations</t>
  </si>
  <si>
    <t>CA-SOR/2022-159</t>
  </si>
  <si>
    <t>Regulations Amending the Metal and Diamond Mining Effluent Regulations</t>
  </si>
  <si>
    <t>A change to this document has been announced. The effect of this change is to designate the Dyno Basin as a tailings impoundment area and authorize its use for the purpose of the deposit of mine waste. The first effective date of the document that makes the change is June 24, 2022. More information about the change, including any additional effective dates, is available &lt;a href="https://canadagazetteducanada.gc.ca/rp-pr/p2/2022/2022-07-06/html/sor-dors159-eng.html" target="_blank"&gt;here&lt;/a&gt;.</t>
  </si>
  <si>
    <t>CA-CRC,c604</t>
  </si>
  <si>
    <t>Import Control List</t>
  </si>
  <si>
    <t>CA-SOR/2022-161</t>
  </si>
  <si>
    <t>Order Amending the Import Control List</t>
  </si>
  <si>
    <t>A change to this document has been announced. The effect of this change is to add one toxic chemical and three families of toxic chemicals to the list of items whose importation into Canada are controlled. The first effective date of the document that makes the change is June 24, 2022. More information about the change, including any additional effective dates, is available &lt;a href="https://canadagazetteducanada.gc.ca/rp-pr/p2/2022/2022-07-06/html/sor-dors161-eng.html" target="_blank"&gt;here&lt;/a&gt;.</t>
  </si>
  <si>
    <t>SOR/83-508</t>
  </si>
  <si>
    <t>Privacy Regulations</t>
  </si>
  <si>
    <t>CA-SOR/2022-151</t>
  </si>
  <si>
    <t>Regulations Amending the Privacy Regulations</t>
  </si>
  <si>
    <t>CA-SOR/2003-196</t>
  </si>
  <si>
    <t>Natural Health Products Regulations</t>
  </si>
  <si>
    <t>CA-SOR/2022-146</t>
  </si>
  <si>
    <t>Regulations Amending the Natural Health Products Regulations</t>
  </si>
  <si>
    <t>A change to this document has been announced. The first effective date of the document that makes the change is June 21, 2022. More information about the change, including any additional effective dates, is available &lt;a href="https://canadagazetteducanada.gc.ca/rp-pr/p2/2022/2022-07-06/html/sor-dors146-eng.html" target="_blank"&gt;here&lt;/a&gt;.</t>
  </si>
  <si>
    <t>CA-SOR/2018-108</t>
  </si>
  <si>
    <t>Safe Food for Canadians Regulations</t>
  </si>
  <si>
    <t>CA-SOR/2022-144</t>
  </si>
  <si>
    <t>Regulations Amending the Safe Food for Canadians Regulations</t>
  </si>
  <si>
    <t>A change to this document has been announced. The first effective date of the document that makes the change is June 21, 2022. More information about the change, including any additional effective dates, is available &lt;a href="https://canadagazetteducanada.gc.ca/rp-pr/p2/2022/2022-07-06/html/sor-dors144-eng.html" target="_blank"&gt;here&lt;/a&gt;.</t>
  </si>
  <si>
    <t>CA-SOR/2020-214</t>
  </si>
  <si>
    <t>Special Economic Measures (Belarus) Regulations</t>
  </si>
  <si>
    <t>CA-SOR/2022-167</t>
  </si>
  <si>
    <t>Regulations Amending the Special Economic Measures (Belarus) Regulations</t>
  </si>
  <si>
    <t>A change to this document has been announced. The effect of this change is notably to (1) add to the list of Belarussian entities subject to a broad dealings ban, (2) ban the import and export of luxury goods (listed as Schedule 4 to this document), and (3) ban the export of various goods that could be used for weapons production and manufacturing in Russia (listed as Schedule 5 to this document). The first effective date of the document that makes the change is June 25, 2022. More information about the change, including any additional effective dates, is available &lt;a href="https://canadagazetteducanada.gc.ca/rp-pr/p2/2022/2022-07-06/html/sor-dors167-eng.html" target="_blank"&gt;here&lt;/a&gt;.</t>
  </si>
  <si>
    <t>CA-SOR/2022-166</t>
  </si>
  <si>
    <t>CA-SOR/2022-165</t>
  </si>
  <si>
    <t>SOR/2017-109</t>
  </si>
  <si>
    <t>Environmental Violations Administrative Monetary Penalties Regulations</t>
  </si>
  <si>
    <t>A change to this document has been announced. The effect of this change is to prescribe violation classes for offences concerning violations of the Clean Fuel Regulations (CA-SOR/2022-140). The first effective date of the document that makes the change is June 21, 2022. More information about the change, including any additional effective dates, is available &lt;a href="https://canadagazetteducanada.gc.ca/rp-pr/p2/2022/2022-07-06/html/sor-dors140-eng.html" target="_blank"&gt;here&lt;/a&gt;.</t>
  </si>
  <si>
    <t>CA-NS-NSReg114/2022</t>
  </si>
  <si>
    <t>Owls Head Provincial Park Designation</t>
  </si>
  <si>
    <t>CA-YT-Prop-2022-06-30</t>
  </si>
  <si>
    <t>Geothermal resources legislation engagement 2022</t>
  </si>
  <si>
    <t>CA-MB-Prop-2022-06-29</t>
  </si>
  <si>
    <t>Proposed 2015 National Model Construction Code Adoption</t>
  </si>
  <si>
    <t>RRScP-7.Reg2</t>
  </si>
  <si>
    <t>Pests Declaration Regulations</t>
  </si>
  <si>
    <t>CA-SK-SR48/2022</t>
  </si>
  <si>
    <t>The Pests Declaration Amendment Regulations, 2022</t>
  </si>
  <si>
    <t>A change to this document has been announced. The effect of this change is notably to add feral pigs ("free-living members of the family Suidae") in the list of species declared as pests under the Pest Control Act (RSS1978,cP-7). The first effective date of the document that makes the change is June 20, 2022. More information about the change, including any additional effective dates, is available &lt;a href="https://publications.saskatchewan.ca/api/v1/products/118321/formats/135982/download" target="_blank"&gt;here&lt;/a&gt;.</t>
  </si>
  <si>
    <t>NSReg.26/2017</t>
  </si>
  <si>
    <t>Nova Scotia Building Code Regulations</t>
  </si>
  <si>
    <t>CA-NS-NSReg116/2022</t>
  </si>
  <si>
    <t>This document is being replaced by the Nova Scotia Building Code Regulations (CA-NS-NSReg116/2022). The first effective date of the document that makes the change is October 1, 2022. More information about the change, including any additional effective dates, is available &lt;a href="https://novascotia.ca/just/regulations/rg2/2022/RG2-2022-07-01.pdf" target="_blank"&gt;here&lt;/a&gt;.</t>
  </si>
  <si>
    <t>CA-Vol.156,No.27(4083)</t>
  </si>
  <si>
    <t>Description of Bank Swallow critical habitat in the Baie de L’Isle-Verte National Wildlife Area, Big Creek National Wildlife Area, Columbia National Wildlife Area, Îles de Contrecœur National Wildlife Area, Long Point National Wildlife Area, Pointe de l’Est National Wildlife Area, Tintamarre National Wildlife Area, Wellers Bay National Wildlife Area, Black Pond Bird Sanctuary, Bonaventure Island and Percé Rock Bird Sanctuary, Inglewood Bird Sanctuary, L’Isle-Verte Bird Sanctuary, Montmagny Bird Sanctuary, Red Deer Bird Sanctuary, and Saint-Vallier Bird Sanctuary</t>
  </si>
  <si>
    <t>CA-Vol.156,No.27(4091)</t>
  </si>
  <si>
    <t>Description of critical habitat of Bank Swallow in Banff National Park of Canada, Cape Breton Highlands National Park of Canada, Jasper National Park of Canada, Kejimkujik National Park and National Historic Site, Kluane National Park and National Park Reserve of Canada, Kootenay National Park of Canada, Kouchibouguac National Park of Canada, Prince Edward Island National Park of Canada, Rouge National Urban Park of Canada and Wapusk National Park of Canada</t>
  </si>
  <si>
    <t>CQLR,cA-19.1</t>
  </si>
  <si>
    <t>Act Respecting Land use Planning and Development</t>
  </si>
  <si>
    <t>YOIC2015/151</t>
  </si>
  <si>
    <t>Workplace Hazardous Materials Information System Regulation</t>
  </si>
  <si>
    <t>CA-YT-YOIC2022/118</t>
  </si>
  <si>
    <t>Regulation to Amend the Occupational Health and Safety Regulations (Workers’ Safety and Compensation Act)</t>
  </si>
  <si>
    <t>CA-YT-YOIC1986G/164</t>
  </si>
  <si>
    <t>Radiation Protection Regulations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</si>
  <si>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href="https://laws.yukon.ca/cms/images/LEGISLATION/SUBORDINATE/2022/2022-0118/2022-0118_1.pdf" target="_blank"&gt;here&lt;/a&gt;.</t>
  </si>
  <si>
    <t>CA-YT-YOIC1986D/164</t>
  </si>
  <si>
    <t>Workplace Health Regulations</t>
  </si>
  <si>
    <t>YOIC2006/178</t>
  </si>
  <si>
    <t>Occupational Health and Safety Regulations</t>
  </si>
  <si>
    <t>A change to this document has been announced. The effect of the changes is notably to (1) consider worplace or work-related violence and harassment as hazards; (2) require employers to conduct hazard assessments to identify existing or potential hazards in the workplace; (3) require employers to develop and implement written policy statements and procedures for the prevention of injury in the workplace, and review it as least once every three years; (4) require employers to ensure that all workers are trained to identify existing and potential hazards in the workplace, and the relevant policies and procedures to report or prevent them; and (5) add a part respecting the prevention of violence and harassment in the workplace. The first effective date of the document that makes the change is September 4, 2021. More information about the change, including any additional effective dates, is available &lt;a href="http://www.gov.yk.ca/legislation/regs/oic2020_121.pdf" target="_blank"&gt;here&lt;/a&gt;.</t>
  </si>
  <si>
    <t>SA2004,cH-8.5</t>
  </si>
  <si>
    <t>Highways Development and Protection Act</t>
  </si>
  <si>
    <t>CA-AB-Vol.118,No.12(478)</t>
  </si>
  <si>
    <t>Proclamation of the Red Tape Reduction Statutes Amendment Act, 2022, s. 2, 4, 6, 11-13</t>
  </si>
  <si>
    <t>RSA2000,cR-4</t>
  </si>
  <si>
    <t>Railway (Alberta) Act</t>
  </si>
  <si>
    <t>Provisions of an Act amending this document are coming into force November 1, 2022. More information about the change, including any additional effective dates, is available &lt;a href="https://www.qp.alberta.ca/documents/gazette/2022/pdf/12_Jun30_Part1.pdf" target="_blank"&gt;here&lt;/a&gt; and &lt;a href="https://www.qp.alberta.ca/Annual_Volumes.cfm?page=/Documents/AnnualVolumes/2022/ch16_2022.html" target="_blank"&gt;here&lt;/a&gt;.</t>
  </si>
  <si>
    <t>RSA2000,cP-40</t>
  </si>
  <si>
    <t>Public Lands Act</t>
  </si>
  <si>
    <t xml:space="preserve">The Alberta Energy Regulator has announced that effective June 16, 2022, disposition holders under this document must submit waivers as "Submissions" in OneStop and will no longer accept waivers (temporary field authorizations) submitted via email. Waivers for activity timing conditions, alternate construction techniques, and other conditions will be accepted through OneStop. More information about the change, including any additional effective dates, is available &lt;a href="https://static.aer.ca/prd/documents/bulletins/Bulletin-202220.pdf" target="_blank"&gt;here&lt;/a&gt; and &lt;a href="https://open.alberta.ca/dataset/6f05d13d-78da-49a9-8224-562d31ddcecb/resource/38cbb784-38db-47a3-b216-c19615dc3a33/download/aep-plar-table-a2-aer-plar-dipositions-2021-10-21.pdf" target="_blank"&gt;here&lt;/a&gt;. </t>
  </si>
  <si>
    <t>RSA2000,cP-35</t>
  </si>
  <si>
    <t>Provincial Parks Act</t>
  </si>
  <si>
    <t>Alta.Reg.23/2003</t>
  </si>
  <si>
    <t>Administrative Penalty Regulation</t>
  </si>
  <si>
    <t>CA-AB-AR108/2022</t>
  </si>
  <si>
    <t>Administrative Penalty Amendment Regulation</t>
  </si>
  <si>
    <t>A change to this document has been announced. The effect of the change is notably to add certain sections of the methane emission reduction regulation to the list of provisions for which an administrative penalty is payable in case of contravention. The first effective date of the document that makes the change is January 1, 2020. More information about the change, including any additional effective dates, is available &lt;a href="http://canlii.ca/t/9663" target="_blank"&gt;here&lt;/a&gt;.</t>
  </si>
  <si>
    <t>Alta.Reg.118/1993</t>
  </si>
  <si>
    <t>Environmental Protection and Enhancement (Miscellaneous) Regulation</t>
  </si>
  <si>
    <t>CA-AB-AR107/2022</t>
  </si>
  <si>
    <t>Environmental Protection and Enhancement (Miscellaneous) Amendment Regulation</t>
  </si>
  <si>
    <t>A change to this document has been announced. The effect of this change is to remove references to codes of practice that must be complied with when conducting certain activities related to the construction, operation, or reclamation of a waterworks system. The first effective date of the document that makes the change is June 29, 2022. More information about the change, including any additional effective dates, is available &lt;a href="https://www.qp.alberta.ca/documents/gazette/2022/pdf/12_Jun30_Part2.pdf" target="_blank"&gt;here&lt;/a&gt; on page 359 of the Gazette.</t>
  </si>
  <si>
    <t>RSA2000,cT-6</t>
  </si>
  <si>
    <t>Traffic Safety Act</t>
  </si>
  <si>
    <t>CA-AB-Vol.118,No.12(482)</t>
  </si>
  <si>
    <t>Proclamation of the Traffic Safety Amendment Act, 2022</t>
  </si>
  <si>
    <t>An Act amending this document is coming into force March 1, 2023. More information about the change, including any additional effective dates, is available &lt;a href="https://www.qp.alberta.ca/documents/gazette/2022/pdf/12_Jun30_Part1.pdf" target="_blank"&gt;here&lt;/a&gt; and &lt;a href="https://www.qp.alberta.ca/Documents/AnnualVolumes/2022/ch06_2022.pdf" target="_blank"&gt;here&lt;/a&gt;.</t>
  </si>
  <si>
    <t>Alta.Reg.277/2003</t>
  </si>
  <si>
    <t>Potable Water Regulation</t>
  </si>
  <si>
    <t>CA-AB-AR113/2022</t>
  </si>
  <si>
    <t>Potable Water Amendment Regulation</t>
  </si>
  <si>
    <t>A change to this document has been announced. The effect of this change is notably to:&lt;ul&gt;&lt;/ul&gt;&lt;li&gt;remove the "Interim Maximum Acceptable Concentration" as a compliance tool for various classes of water;&lt;li&gt;remove waters with a "naturally occurring fluoride [level] of less than or equal to 2.4 milligrams per liter" from the definition of "high quality groundwater";&lt;li&gt;introduce the "micro waterworks system" and set out the applicability of rules, including design standards, equipment, and control requirements, to such systems;&lt;li&gt;update design requirements for water distribution systems; and&lt;li&gt;incorporate by reference Codes of Practice for Waterworks Systems.&lt;ul&gt;&lt;/ul&gt;The first effective date of the document that makes the change is June 29, 2022. More information about the change, including any additional effective dates, is available &lt;a href="https://www.qp.alberta.ca/documents/gazette/2022/pdf/12_Jun30_Part2.pdf" target="_blank"&gt;here&lt;/a&gt; beginning on page 371 of the Gazette.</t>
  </si>
  <si>
    <t>AltaReg273/2004</t>
  </si>
  <si>
    <t>Disclosure of Information Regulation</t>
  </si>
  <si>
    <t>CA-AB-AR111/2022</t>
  </si>
  <si>
    <t>Disclosure of Information (Expiry Date Extension) Amendment Regulation</t>
  </si>
  <si>
    <t>RSA2000,cF-25</t>
  </si>
  <si>
    <t>CA-AB-AR137/2022</t>
  </si>
  <si>
    <t>Court of Queen's Bench (Various Statutes) Amendment Regulation</t>
  </si>
  <si>
    <t>A change to this document has been announced. The first effective date of the document that makes the change has not yet been announced. More information about the change, including any additional effective dates, is available &lt;a href="https://www.qp.alberta.ca/Annual_Volumes.cfm?page=/Documents/AnnualVolumes/2022/c26p7_2022.html" target="_blank"&gt;here&lt;/a&gt;.</t>
  </si>
  <si>
    <t>CA-AB-AR132/2022</t>
  </si>
  <si>
    <t>CA-AB-AR129/2022</t>
  </si>
  <si>
    <t>Public Lands Administration Amendment Regulation</t>
  </si>
  <si>
    <t>Alta.Reg.326/2009</t>
  </si>
  <si>
    <t>Highways Development and Protection Regulation</t>
  </si>
  <si>
    <t>CA-AB-AR115/2022</t>
  </si>
  <si>
    <t>Highways Development and Protection Amendment Regulation</t>
  </si>
  <si>
    <t>CA-AB-AR114/2022</t>
  </si>
  <si>
    <t>CA-AB-AltaReg284/2006</t>
  </si>
  <si>
    <t>CA-AB-AR142/2022</t>
  </si>
  <si>
    <t>Exploration Amendment Regulation</t>
  </si>
  <si>
    <t>A change to this document has been announced. The effect of the changes is notably to (1) redefine the "date of commencement" as "the date on which entry to land to conduct exploration first occurs following the approval of a program of exploration"; (2) specify that this regulation does not apply to an operation exempted from the part of the Mines and Minerals Act on exploration; (3) modify when a "program licensee may move a seismic line in an approved exploration program being conducted on private land"; (4) modify notification requirements for program licensees and permittees; (5) modify the requirement concerning identification numbers for exploration equipment and concerning the display of program tags; (6) modify the requirement with respect to the use of charges in shot holes, the depths of shot holes and test holes, and the abandonment of shot holes and test holes; (7) change the expiration date of the regulation for June 30, 2030; and (8) change references to exploration directives with references to an exploration directive. The first effective date of the document that makes the change is January 22, 2021. More information about the change, including any additional effective dates, is available &lt;a href="https://www.qp.alberta.ca/documents/gazette/2021/pdf/01_Jan15_Part2.pdf" target="_blank"&gt;here&lt;/a&gt;.</t>
  </si>
  <si>
    <t>Alta.Reg.115/1993</t>
  </si>
  <si>
    <t>Conservation and Reclamation Regulation</t>
  </si>
  <si>
    <t>CA-AB-AR141/2022</t>
  </si>
  <si>
    <t>Conservation and Reclamation Amendment Regulation</t>
  </si>
  <si>
    <t>Alta.Reg.154/2009</t>
  </si>
  <si>
    <t>Remediation Regulation</t>
  </si>
  <si>
    <t>CA-AB-AR140/2022</t>
  </si>
  <si>
    <t>Remediation Amendment Regulation</t>
  </si>
  <si>
    <t>CA-AB-AR148/2022</t>
  </si>
  <si>
    <t>Commercial Vehicle Dimension and Weight Amendment Regulation</t>
  </si>
  <si>
    <t>CA-AB-AR143/2022</t>
  </si>
  <si>
    <t>CA-Vol.156,No.15(1670)</t>
  </si>
  <si>
    <t>Interim Order No. 3 Respecting Vessel Restrictions and Vaccination Requirements Due to the Coronavirus Disease 2019 (COVID-19)</t>
  </si>
  <si>
    <t>This document is repealed, effective June 19, 2022. Requirements for certain cruise ship operations are continued by the Interim Order Respecting Cruise Ship Restrictions and Vaccination Requirements Due to the Coronavirus Disease 2019 (COVID-19) (CA-Vol.156,No.27(4069)) which comes into force June 20, 2022. More information about the change, including any additional effective dates, is available &lt;a href="https://canadagazetteducanada.gc.ca/rp-pr/p1/2022/2022-07-02/html/notice-avis-eng.html#ne5" target="_blank"&gt;here&lt;/a&gt;.</t>
  </si>
  <si>
    <t>CA-QC-SQ2022,c14</t>
  </si>
  <si>
    <t>An Act Respecting French, the Official and Common Language of Quebec</t>
  </si>
  <si>
    <t>CQLRcC-11</t>
  </si>
  <si>
    <t>Charter of the French Language</t>
  </si>
  <si>
    <t>A change to this document has been announced. The first effective date of the document that makes the change is June 1, 2022. More information about the change, including any additional effective dates, is available &lt;a href="https://www2.publicationsduquebec.gouv.qc.ca/dynamicSearch/telecharge.php?type=5&amp;file=2022C14A.PDF" target="_blank"&gt;here&lt;/a&gt; beginning on page 7.</t>
  </si>
  <si>
    <t>RSQ,cP-40.1</t>
  </si>
  <si>
    <t>Consumer Protection Act</t>
  </si>
  <si>
    <t>A change to this document has been announced. The first effective date of the document that makes the change is June 1, 2022. More information about the change, including any additional effective dates, is available &lt;a href="https://www2.publicationsduquebec.gouv.qc.ca/dynamicSearch/telecharge.php?type=5&amp;file=2022C14A.PDF" target="_blank"&gt;here&lt;/a&gt; on page 90.</t>
  </si>
  <si>
    <t>RSQ,cC-26</t>
  </si>
  <si>
    <t>Professional Code</t>
  </si>
  <si>
    <t>CA-QC-SQ2022,c17</t>
  </si>
  <si>
    <t>An Act respecting the National Student Ombudsman</t>
  </si>
  <si>
    <t>BCReg196/99</t>
  </si>
  <si>
    <t>Motor Vehicle Prohibition Regulation</t>
  </si>
  <si>
    <t>CA-BC-BCReg157/2022</t>
  </si>
  <si>
    <t>Hunting Regulation; Limited Entry Hunting Regulation [...] 2022-06-28 Amendments</t>
  </si>
  <si>
    <t>A change to this document has been announced. The effect of this change is notably to:&lt;ul&gt;&lt;/ul&gt;&lt;li&gt;provide an exemption to the prohibition on the operation of motor vehicles and electric bicycles for certain commercial and trapping activities in Sustut River - Johansen Lake - Moose Valley motor vehicle closed area;&lt;li&gt;remove a motor vehicle closed area in the Potato Mountain and Porcupine Ridge regions;&lt;li&gt;revise the times of year in which the operation of motor vehicles or electric bicycles in Management Units (MU) 4-1, 4-2 and 4-23 is permitted;&lt;li&gt;permit the operation of motor vehicles or electric bicycles in certain areas of MUs 8-4 and 8-5;&lt;li&gt;add a motor vehicle closed area in Sustut River - Johansen Lake - Moose Valley, including its map; and&lt;li&gt;update various management unit (MU) maps and relevant references in the document text.&lt;ul&gt;&lt;/ul&gt; The first effective date of the document that makes the change is June 27, 2022. More information about the change, including any additional effective dates, is available &lt;a href="https://www.bclaws.gov.bc.ca/civix/document/id/mo/mo/m0192_2022" target="_blank"&gt;here&lt;/a&gt; beginning on page 9.</t>
  </si>
  <si>
    <t>BCReg190/84</t>
  </si>
  <si>
    <t>Hunting Regulation</t>
  </si>
  <si>
    <t>A change to this document has been announced. The changes affect hunting rules in various regions for a variety of species including to:&lt;ul&gt;&lt;/ul&gt;&lt;li&gt;remove Management Unit (MU) 7-58 from the list of areas in which there is an open season for the hunting of Moose Bulls;&lt;li&gt;require persons who possess the carcass of certain wildlife (a mountain goat, mountain sheep, caribou, deek, elk, or moose hunted in a restricted season) to leave the antlers or horns natually attached to the skull of the carcass;&lt;li&gt;make it an offence to take or kill a lynx or bobcat in Regions 5 or 8, and make it an offence to take or kill a black bear in MU 6-12 or 6-13;&lt;li&gt;remove Region 1 from the list of areas in which the take or kill of an elk is an offence if the person fails to adequately report the kill;&lt;li&gt;remove Region 5 from the list of areas in which the take or kill of an bobcat is an offence if the person fails to adequately report the kill;&lt;li&gt;remove Regions 5 and 8 from the list of areas in which the take or kill of a lynx is an offence if the person fails to adequately report the kill;&lt;li&gt;make it an offence to hunt certain animals with air rifles of varying calibres;&lt;li&gt;specify the areas in which it is an offence to use a wireless camera for the purposes of hunting;&lt;li&gt;revise the list of parks, conservancies, recreation areas and protected areas in which it is prohibited to hunt, except during the open season;&lt;li&gt;establish the open season dates and bag limits for turkey in Region 4;&lt;li&gt;remove the rule governing the open season for hunting antlerless elk with a bow; and&lt;li&gt;establish the open season dates and bag limits for racoons in Region 5.&lt;ul&gt;&lt;/ul&gt;The first effective date of the document that makes the change is June 27, 2022. More information about the change, including any additional effective dates, is available &lt;a href="https://www.bclaws.gov.bc.ca/civix/document/id/mo/mo/m0192_2022" target="_blank"&gt;here&lt;/a&gt; on page 2.</t>
  </si>
  <si>
    <t>BCReg340/82</t>
  </si>
  <si>
    <t>Wildlife Act General Regulation</t>
  </si>
  <si>
    <t>A change to this document has been announced. The effect of this change is notably to make it an offence to intentionally bait or feed an ungulate within 200 meters of a dwelling, school yard or playground in Region 5. The first effective date of the document that makes the change is June 27, 2022. More information about the change, including any additional effective dates, is available &lt;a href="https://www.bclaws.gov.bc.ca/civix/document/id/mo/mo/m0192_2022" target="_blank"&gt;here&lt;/a&gt;.</t>
  </si>
  <si>
    <t>BCReg168/90</t>
  </si>
  <si>
    <t>Designation and Exemption Regulation</t>
  </si>
  <si>
    <t>A change to this document has been announced. The effect of this change is to add the short-tailed weasel ( Mustela richardsonii ) to the list of mammals designated as fur-bearing animals. The first effective date of the document that makes the change is June 27, 2022. More information about the change, including any additional effective dates, is available &lt;a href="https://www.bclaws.gov.bc.ca/civix/document/id/mo/mo/m0192_2022" target="_blank"&gt;here&lt;/a&gt;.</t>
  </si>
  <si>
    <t>BCReg76/84</t>
  </si>
  <si>
    <t>Closed Areas Regulation</t>
  </si>
  <si>
    <t>A change to this document has been announced. The effect of this change is notably to:&lt;ul&gt;&lt;/ul&gt;&lt;li&gt;exempt persons hunting with a muzzle-loading firearm in certain areas from specific prohibitions on discharging a firearm;&lt;li&gt;add portions of Management Unit (MU) 8-22 and MU 3-17 to the list of designated no-shooting areas;&lt;li&gt;add portions of MU 2-6 and 2-19 to the list of Crown lands designated as no shooting areas;&lt;li&gt;revise the boundaries of MU 1-6 that is prescribed for the open season for trapping of fur-bearing animals and add MU 4-23 to the list of areas prescribed for that purpose; and&lt;li&gt;add areas to the list of firearms using shot-only areas.&lt;ul&gt;&lt;/ul&gt; The first effective date of the document that makes the change is June 27, 2022. More information about the change, including any additional effective dates, is available &lt;a href="https://www.bclaws.gov.bc.ca/civix/document/id/mo/mo/m0192_2022" target="_blank"&gt;here&lt;/a&gt;. Additional information about Management Units is available &lt;a href="https://www2.gov.bc.ca/gov/content/sports-culture/recreation/fishing-hunting/hunting/regulations-synopsis" target="_blank"&gt;here&lt;/a&gt;.</t>
  </si>
  <si>
    <t>BCReg134/93</t>
  </si>
  <si>
    <t>Limited Entry Hunting Regulation</t>
  </si>
  <si>
    <t>A change to this document has been announced. The effect of this change is to clarify that the open season for bull moose that is restricted to hunting with a bow applies in Zone A only of Management Unit (MU) 6-30, clarify that the season for bull moose in Smithers MU 6-09 applies in Zone A, and revise the open season dates for antlerless mule (black-tailed) deer in Okanagan MU 8-01. The first effective date of the document that makes the change is June 27, 2022. More information about the change, including any additional effective dates, is available &lt;a href="https://www.bclaws.gov.bc.ca/civix/document/id/mo/mo/m0192_2022" target="_blank"&gt;here&lt;/a&gt; on page 2.</t>
  </si>
  <si>
    <t>CA-BC-BCReg143/2022</t>
  </si>
  <si>
    <t>Designation and Exemption Regulation 2022-06-28 Amendments</t>
  </si>
  <si>
    <t>SBC2004,c44</t>
  </si>
  <si>
    <t>Transportation Act</t>
  </si>
  <si>
    <t>CA-BC-BCReg155/2022</t>
  </si>
  <si>
    <t>Proclamation of the Transportation Amendment Act, 2022</t>
  </si>
  <si>
    <t>CA-MB-ManReg72/2022</t>
  </si>
  <si>
    <t>Scrap Metal Regulation</t>
  </si>
  <si>
    <t>CA-QC-OC1080-2022</t>
  </si>
  <si>
    <t>Setting aside of the Basilières-Kaël land, situated in the Lanaudière region</t>
  </si>
  <si>
    <t>CA-QC-OC1079-2022</t>
  </si>
  <si>
    <t>Setting aside of the Buttes-du-Lac-Montjoie land, situated in the Laurentides region</t>
  </si>
  <si>
    <t>CA-QC-OC1078-2022</t>
  </si>
  <si>
    <t>Setting aside of the Montagne-du-Diable land and authorization to amend the map and the conservation plan for the proposed Montagne-du-Diable biodiversity reserve situated in the Laurentides region</t>
  </si>
  <si>
    <t>CA-QC-OC1077-2022</t>
  </si>
  <si>
    <t>Setting aside of the Mont-O’Brien land, situated in the Outaouais region</t>
  </si>
  <si>
    <t>CA-QC-OC1076-2022</t>
  </si>
  <si>
    <t>Setting aside of the Mont-Sainte-Marie land, situated in the Outaouais and Laurentides regions</t>
  </si>
  <si>
    <t>CA-QC-OC1075-2022</t>
  </si>
  <si>
    <t>Setting aside of the Raimbault-Piton land, situated in the Lanaudière region</t>
  </si>
  <si>
    <t>CA-QC-OC1074-2022</t>
  </si>
  <si>
    <t>Setting aside of the Archipel-des-Sept-Îles land, situated in the Côte-Nord region</t>
  </si>
  <si>
    <t>CA-QC-OC1073-2022</t>
  </si>
  <si>
    <t>Setting aside of the Domaine-la-Vérendrye land, situated in the Outaouais region</t>
  </si>
  <si>
    <t>CA-QC-OC1072-2022</t>
  </si>
  <si>
    <t>Setting aside of the Chicobi land, situated in the Abitibi-Témiscamingue and Nord-du-Québec regions</t>
  </si>
  <si>
    <t>CA-QC-OC1071-2022</t>
  </si>
  <si>
    <t>Setting aside of the Sept-Chutes land, situated in the Lanaudière</t>
  </si>
  <si>
    <t>CA-QC-OC1070-2022</t>
  </si>
  <si>
    <t>Setting aside of the Rivière-Péribonka land, situated in the Saguenay‒Lac-Saint-Jean region</t>
  </si>
  <si>
    <t>CA-QC-Vol.154,No.26(2388)</t>
  </si>
  <si>
    <t>Occupational health and safety in mines—Amendment</t>
  </si>
  <si>
    <t>CA-SC2022,c10,s235</t>
  </si>
  <si>
    <t>Prohibition on the Purchase of Residential Property by Non-Canadians Act</t>
  </si>
  <si>
    <t>SC2013,c21</t>
  </si>
  <si>
    <t>Safe Drinking Water for First Nations Act</t>
  </si>
  <si>
    <t>CA-SC2022,c10</t>
  </si>
  <si>
    <t>Budget Implementation Act, 2022, No. 1</t>
  </si>
  <si>
    <t>This document is being repealed. More information about the change, including any additional effective dates, is available &lt;a href="http://www.parl.ca/DocumentViewer/en/44-1/bill/C-19/royal-assent" target="_blank"&gt;here&lt;/a&gt;.</t>
  </si>
  <si>
    <t>CA-SC1992,c17</t>
  </si>
  <si>
    <t>Special Economic Measures Act</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</si>
  <si>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href="http://www.parl.ca/DocumentViewer/en/44-1/bill/C-19/royal-assent#ID0ESDA" target="_blank"&gt;here&lt;/a&gt;.</t>
  </si>
  <si>
    <t>CA-RSC1985,cC-44</t>
  </si>
  <si>
    <t>Canada Business Corporations Act</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</si>
  <si>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href="http://www.parl.ca/DocumentViewer/en/44-1/bill/C-19/royal-assent#ID0E4DA" target="_blank"&gt;here&lt;/a&gt;.</t>
  </si>
  <si>
    <t>RSC1985,cL-2</t>
  </si>
  <si>
    <t>Canada Labour Code</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</si>
  <si>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href="http://www.parl.ca/DocumentViewer/en/44-1/bill/C-19/royal-assent#ID0E0JB0DA" target="_blank"&gt;here&lt;/a&gt;.</t>
  </si>
  <si>
    <t>CA-RSC1985,cC-8</t>
  </si>
  <si>
    <t>Canada Pension Plan</t>
  </si>
  <si>
    <t>CA-SC1996,c23</t>
  </si>
  <si>
    <t>Employment Insurance Act</t>
  </si>
  <si>
    <t>A change to this document has been announced. The first effective date of the document that makes the change is January 1, 2020. More information about the change, including any additional effective dates, is available beginning &lt;a href="http://www.parl.ca/DocumentViewer/en/44-1/bill/C-19/royal-assent#ID0E0AD0DA" target="_blank"&gt;here&lt;/a&gt;.</t>
  </si>
  <si>
    <t>CA-SC2020,c5,s8</t>
  </si>
  <si>
    <t>Canada Emergency Response Benefit Act</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</si>
  <si>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href="http://www.parl.ca/DocumentViewer/en/44-1/bill/C-19/royal-assent#ID0E0FD0DA" target="_blank"&gt;here&lt;/a&gt;.</t>
  </si>
  <si>
    <t>CA-SC2001,c27</t>
  </si>
  <si>
    <t>Immigration and Refugee Protection Act</t>
  </si>
  <si>
    <t>CA-RSC,1985,cG-2</t>
  </si>
  <si>
    <t>Garnishment, Attachment and Pension Diversion Act</t>
  </si>
  <si>
    <t>RSC1985,cC-42</t>
  </si>
  <si>
    <t>Copyright Act</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</si>
  <si>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href="http://www.parl.ca/DocumentViewer/en/44-1/bill/C-19/royal-assent#ID0E0QH0DA" target="_blank"&gt;here&lt;/a&gt;.</t>
  </si>
  <si>
    <t>RSC1985,cC-34</t>
  </si>
  <si>
    <t>Competition Act</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</si>
  <si>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href="http://www.parl.ca/DocumentViewer/en/44-1/bill/C-19/royal-assent#ID0E0HI0DA" target="_blank"&gt;here&lt;/a&gt;.</t>
  </si>
  <si>
    <t>RSC1985,c44</t>
  </si>
  <si>
    <t>Lobbying Act</t>
  </si>
  <si>
    <t>RSC1985,c22(4thSupp)</t>
  </si>
  <si>
    <t>Emergencies Act</t>
  </si>
  <si>
    <t>RSC1985,cP-21</t>
  </si>
  <si>
    <t>Privacy Act</t>
  </si>
  <si>
    <t>CA-RSC1985,c47(4thSupp)</t>
  </si>
  <si>
    <t>Canadian International Trade Tribunal Act</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</si>
  <si>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href="http://www.parl.ca/DocumentViewer/en/44-1/bill/C-19/royal-assent#ID0E0PK0DA" target="_blank"&gt;here&lt;/a&gt;.</t>
  </si>
  <si>
    <t>CA-RSC1985,cS-15</t>
  </si>
  <si>
    <t>Special Import Measures Act</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</si>
  <si>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href="http://www.parl.ca/DocumentViewer/en/44-1/bill/C-19/royal-assent#ID0E0HL0DA" target="_blank"&gt;here&lt;/a&gt;.</t>
  </si>
  <si>
    <t>CA-RSC1985,c32(2ndSupp)</t>
  </si>
  <si>
    <t>Pension Benefits Standards Act</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</si>
  <si>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href="http://www.parl.ca/DocumentViewer/en/44-1/bill/C-19/royal-assent#ID0E0RL0DA" target="_blank"&gt;here&lt;/a&gt;.</t>
  </si>
  <si>
    <t>CA-SOR/96-46</t>
  </si>
  <si>
    <t>Customs Bonded Warehouses Regulations</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</si>
  <si>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href="http://www.parl.ca/DocumentViewer/en/44-1/bill/C-19/royal-assent#ID0E0IP0DA" target="_blank"&gt;here&lt;/a&gt;.</t>
  </si>
  <si>
    <t>CA-SOR/87-720</t>
  </si>
  <si>
    <t>Non-residents’ Temporary Importation of Baggage and Conveyances Regulations</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</si>
  <si>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href="http://www.parl.ca/DocumentViewer/en/44-1/bill/C-19/royal-assent#ID0E0NP0DA" target="_blank"&gt;here&lt;/a&gt;.</t>
  </si>
  <si>
    <t>CA-SOR/86-1065</t>
  </si>
  <si>
    <t>Customs Sufferance Warehouses Regulations</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</si>
  <si>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href="http://www.parl.ca/DocumentViewer/en/44-1/bill/C-19/royal-assent#ID0E0QP0DA" target="_blank"&gt;here&lt;/a&gt;.</t>
  </si>
  <si>
    <t>RSC1985,c1(2ndSupp)</t>
  </si>
  <si>
    <t>Customs Act</t>
  </si>
  <si>
    <t>A change to this document has been announced. The first effective date of the document that makes the change is January 1, 2020. More information about the change, including any additional effective dates, is available &lt;a href="http://www.parl.ca/DocumentViewer/en/44-1/bill/C-19/royal-assent#ID0E0EQ0DA" target="_blank"&gt;here&lt;/a&gt;.</t>
  </si>
  <si>
    <t>CA-CRC,c945</t>
  </si>
  <si>
    <t>Income Tax Regulations</t>
  </si>
  <si>
    <t>A change to this document has been announced. The effect of this change is notably to introduce a tax incentive for qualified zero-emission technology manufacturing activities, as defined. The first effective date of the document that makes the change is January 1, 2020. More information about the change, including any additional effective dates, is available &lt;a href="http://www.parl.ca/DocumentViewer/en/44-1/bill/C-19/royal-assent#ID0E0DS0DA" target="_blank"&gt;here&lt;/a&gt;.</t>
  </si>
  <si>
    <t>CA-SC2005,c38</t>
  </si>
  <si>
    <t>Canada Border Services Agency Act</t>
  </si>
  <si>
    <t>SC2002,c9,s5</t>
  </si>
  <si>
    <t>Air Travellers Security Charge Act</t>
  </si>
  <si>
    <t>A change to this document has been announced. The first effective date of the document that makes the change is September 1, 2021. More information about the change, including any additional effective dates, is available &lt;a href="http://www.parl.ca/DocumentViewer/en/44-1/bill/C-8/royal-assent#ID0EZAA" target="_blank"&gt;here&lt;/a&gt;.</t>
  </si>
  <si>
    <t>CA-RSC1985,cB-3</t>
  </si>
  <si>
    <t>Bankruptcy and Insolvency Act</t>
  </si>
  <si>
    <t>A change to this document has been announced. The first effective date of the document that makes the change is September 1, 2022. More information about the change, including any additional effective dates, is available &lt;a href="http://www.parl.ca/DocumentViewer/en/44-1/bill/C-19/royal-assent#ID0E05N0DA" target="_blank"&gt;here&lt;/a&gt;.</t>
  </si>
  <si>
    <t>CA-RSC1985,cA-1</t>
  </si>
  <si>
    <t>Access to Information Act</t>
  </si>
  <si>
    <t>CCSMcW70</t>
  </si>
  <si>
    <t>The Water Resources Administration Act</t>
  </si>
  <si>
    <t>CA-MB-Procl-2022-06-22(2)</t>
  </si>
  <si>
    <t>Proclamation of The Crown Land Dispositions Act (Various Acts Amended)</t>
  </si>
  <si>
    <t>An Act amending this document is coming into force on July 1, 2022. Subsequent to that announcement, no customers were tracking changes to this document. As a result, no analysis of the change is available in the language that you have selected. More information about the change is available &lt;a href="https://web2.gov.mb.ca/laws/statutes/proclamations/2021c17(2022-07-01).pdf" target="_blank"&gt;here&lt;/a&gt;.</t>
  </si>
  <si>
    <t>CA-MB-CCSMcT147</t>
  </si>
  <si>
    <t>Transportation Infrastructure Act</t>
  </si>
  <si>
    <t>A change to this document has been announced. The first effective date of the document that makes the change is May 12, 2021. More information about the change, including any additional effective dates, is available &lt;a href="https://web2.gov.mb.ca/laws/statutes/2022/c02422e.php" target="_blank"&gt;here&lt;/a&gt;.</t>
  </si>
  <si>
    <t>CA-MB-CCSMcS40</t>
  </si>
  <si>
    <t>The Scrap Metal Act</t>
  </si>
  <si>
    <t>CA-MB-Procl-2022-06-22(1)</t>
  </si>
  <si>
    <t>Proclamation of the Scrap Metal Act</t>
  </si>
  <si>
    <t>This Act is coming into force on July 18, 2022. It notably provides requirements for scrap metal dealers on conditions for selling or purchasing scrap metals, the maintenance of records on identifying information about scrap metal sellers and details about metal sales transactions, and reporting to a law enforcement agency concerning the purchase of certain restricted items or potentially stolen scrap metals. More information about the change, including any additional effective dates, is available &lt;a href="https://web2.gov.mb.ca/laws/statutes/proclamations/2022c12(2022-07-18).pdf" target="_blank"&gt;here&lt;/a&gt; and &lt;a href="https://web2.gov.mb.ca/laws/statutes/2022/c01222e.php" target="_blank"&gt;here&lt;/a&gt;.</t>
  </si>
  <si>
    <t>CA-SC2022,c10,s294</t>
  </si>
  <si>
    <t>Civil Lunar Gateway Agreement Implementation Act</t>
  </si>
  <si>
    <t>CA-QC-CQLRcC-61.1,r5.1</t>
  </si>
  <si>
    <t>Regulation respecting animals in captivity</t>
  </si>
  <si>
    <t>CA-QC-OC1102-2022</t>
  </si>
  <si>
    <t>Regulation to amend the Regulation respecting animals in captivity</t>
  </si>
  <si>
    <t>A change to this document has been announced. The effect of this change is notably to:&lt;ul&gt;&lt;/ul&gt;&lt;li&gt;permit the use of a net, trebuchet or crow trap in the capture of animals not listed in Schedule 1 to this document;&lt;li&gt;revise the hunting season dates for holders of licences to capture birds of prey to begin in August instead of September;&lt;li&gt;revise the definition of a "keeper";&lt;li&gt;revise the applicability of rules concerning the keeping of animals in captivity as relates to animals being moved in transport cages or being kept in captivity for breeding purposes to deal with fur, meat, or other food products;&lt;li&gt;revise rules concerning the treatment of animals in a poor state of health; and&lt;li&gt;update rules concerning the keeping of large cervids with attention to the occurrence of chronic wasting disease in the sites where they would be kept.&lt;ul&gt;&lt;/ul&gt; The first effective date of the document that makes the change is July 14, 2022. More information about the change, including any additional effective dates, is available &lt;a href="https://www2.publicationsduquebec.gouv.qc.ca/dynamicSearch/telecharge.php?type=1&amp;file=105841.pdf" target="_blank"&gt;here&lt;/a&gt;.</t>
  </si>
  <si>
    <t>RRQ,cQ-2,r40.1</t>
  </si>
  <si>
    <t>Regulation respecting the recovery and reclamation of products by enterprises</t>
  </si>
  <si>
    <t>CA-QC-OC1211-2022</t>
  </si>
  <si>
    <t>Corrections to the French and English texts of the Regulation to amend the Regulation respecting the recovery and reclamation of products by enterprises</t>
  </si>
  <si>
    <t>A change to this document has been announced. The effect of this change, according to the Québec Government, is notably to:&lt;ul&gt;&lt;/ul&gt;&lt;li&gt;determine "the obligations regarding the recovery and reclamation of certain new products”;&lt;li&gt;extend the rules concerning the recovery and reclamation of products to enterprises with no domicile or establishment in Québec if they market a new covered product in Québec;&lt;li&gt;add three new categories of products: agricultural products, pressurized fuel containers and pharmaceutical products and add new subcategories of products;&lt;li&gt;restrict a requirement applicable to certain types of covered products containing components that are also covered products;&lt;li&gt;postpone and change the “minimum recovery rates applicable to products already covered”;&lt;li&gt;grant “compensations for purposes of calculating the minimum recovery rate to be attained, based on the quantity of products recovered prior to 1 January 2022”;&lt;li&gt;replace “the obligation to pay a sum to the Fund for the Protection of the Environment and the Waters in the Domain of the State in case of failure to attain the minimum recovery rate by the obligation to implement a remediation program to enhance the recovery and reclamation plan”;&lt;li&gt;require that the recovery and reclamation of covered products be carried out under a program;&lt;li&gt;promote “public access to information concerning the recovery program and its performance”; and&lt;li&gt;modify the “operating rules for recovery and reclamation programs, auditing of service providers, annual reporting and audit rules”.&lt;ul&gt;&lt;/ul&gt; The first effective date of the document that makes the change is June 30, 2022. More information about the change, including any additional effective dates, is available &lt;a href="http://www2.publicationsduquebec.gouv.qc.ca/dynamicSearch/telecharge.php?type=1&amp;file=105769.pdf" target="_blank"&gt;here&lt;/a&gt; and &lt;a href="http://www2.publicationsduquebec.gouv.qc.ca/dynamicSearch/telecharge.php?type=1&amp;file=105312.pdf" target="_blank"&gt;here&lt;/a&gt;.</t>
  </si>
  <si>
    <t>CA-RSC1985,cF-24</t>
  </si>
  <si>
    <t>Fishing and Recreational Harbours Act</t>
  </si>
  <si>
    <t>CA-SC2022,c11</t>
  </si>
  <si>
    <t>An Act to amend the Criminal Code (self-induced extreme intoxication)</t>
  </si>
  <si>
    <t>CA-QC-OC972-2022</t>
  </si>
  <si>
    <t>Regulation respecting the development, implementation and financial support of a deposit-refund system for certain containers</t>
  </si>
  <si>
    <t>CA-QC-OC973-2022</t>
  </si>
  <si>
    <t>Regulation respecting a system of selective collection of certain residual materials</t>
  </si>
  <si>
    <t>CA-Vol.156,No.26(3906)</t>
  </si>
  <si>
    <t>Interim Order for the Protection of the Killer Whale (Orcinus orca) in the Waters of Southern British Columbia, 2022</t>
  </si>
  <si>
    <t>CA-Vol.156,No.26(3855)</t>
  </si>
  <si>
    <t>Description of Eastern Whip-poor-will critical habitat in the Big Creek National Wildlife Area, the Long Point National Wildlife Area, the Prince Edward Point National Wildlife Area, and the Rideau Bird Sanctuary</t>
  </si>
  <si>
    <t>CA-Vol.156,No.26(4010)</t>
  </si>
  <si>
    <t>Regulations Amending the Transportation of Dangerous Goods Regulations (Registration Database)</t>
  </si>
  <si>
    <t>CA-Vol.156,No.26(3931)</t>
  </si>
  <si>
    <t>Marine Safety Management System Regulations</t>
  </si>
  <si>
    <t>CQLRcC-47.1</t>
  </si>
  <si>
    <t>Municipal Powers Act</t>
  </si>
  <si>
    <t>CA-QC-SQ2022,c20</t>
  </si>
  <si>
    <t>An Act to harmonize and modernize the rules relating to the professional status of artists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</si>
  <si>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href="https://www2.publicationsduquebec.gouv.qc.ca/dynamicSearch/telecharge.php?type=4&amp;file=2226.PDF" target="_blank"&gt;here&lt;/a&gt;.</t>
  </si>
  <si>
    <t>CA-QC-CQLRcC-5.3</t>
  </si>
  <si>
    <t>Cannabis Regulation Act</t>
  </si>
  <si>
    <t>CA-QC-SQ2022,c18</t>
  </si>
  <si>
    <t>An Act mainly to promote Québec-sourced and responsible procurement by public bodies, to reinforce the integrity regime of enterprises and to increase the powers of the Autorité des marchés publics</t>
  </si>
  <si>
    <t>CQLRcL-6.1</t>
  </si>
  <si>
    <t>Anti-Corruption Act</t>
  </si>
  <si>
    <t>CA-QC-SQ2022,c13</t>
  </si>
  <si>
    <t>An Act to amend the Automobile Insurance Act, the Highway Safety Code and other provisions</t>
  </si>
  <si>
    <t>RSQ,cV-1.2</t>
  </si>
  <si>
    <t>An Act respecting off-highway vehicles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</si>
  <si>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href="https://www2.publicationsduquebec.gouv.qc.ca/dynamicSearch/telecharge.php?type=5&amp;file=2022C13A.PDF" target="_blank"&gt;here&lt;/a&gt;.</t>
  </si>
  <si>
    <t>CQLRcP-30.3</t>
  </si>
  <si>
    <t>Act Respecting Owners, Operators and Drivers of Heavy Vehicles</t>
  </si>
  <si>
    <t>CA-QC-SQ2022,c25</t>
  </si>
  <si>
    <t>An Act to amend various legislative provisions mainly with respect to housing</t>
  </si>
  <si>
    <t>CA-QC-OC996-2022</t>
  </si>
  <si>
    <t>Regulation to amend the Regulation respecting licences</t>
  </si>
  <si>
    <t>CA-QC-OC997-2022</t>
  </si>
  <si>
    <t>Regulation to amend the Regulation respecting road vehicle registration</t>
  </si>
  <si>
    <t>CA-QC-MO2021-006</t>
  </si>
  <si>
    <t>Order number 2021-006 of the Minister of Forests, Wildlife and Parks dated 2 March 2021 concerning the establishment of wildlife sanctuaries</t>
  </si>
  <si>
    <t>CA-QC-Vol.154,No.25A(3255A)</t>
  </si>
  <si>
    <t>Amendment of Order Number 2021-006 of March 2, 2021 concerning the establishment of wildlife sanctuaries</t>
  </si>
  <si>
    <t>A change to this document has been announced. The effect of this change is to modify the boundaries of the Chic-Chocs Wildlife Reserve. The first effective date of the document that makes the change is June 23, 2022. More information about the change, including any additional effective dates, is available &lt;a href="https://www2.publicationsduquebec.gouv.qc.ca/dynamicSearch/telecharge.php?type=1&amp;file=77734.pdf" target="_blank"&gt;here&lt;/a&gt;.</t>
  </si>
  <si>
    <t>CA-QC-Vol.154,No.26(431)</t>
  </si>
  <si>
    <t>Amounts applicable to the calculation of duties payable to municipalities with regards to the exploitation of quarries or sandpits (Notice of Indexation)</t>
  </si>
  <si>
    <t>CA-Vol.156,No.24(2879)</t>
  </si>
  <si>
    <t>Interim Order for Civil Aviation Respecting Requirements Related to Vaccination Due to COVID-19, No. 2</t>
  </si>
  <si>
    <t>CA-Vol.156,No.26(3856)</t>
  </si>
  <si>
    <t>Interim Order for Civil Aviation Respecting Requirements Related to Vaccination Due to COVID-19, No. 3</t>
  </si>
  <si>
    <t>This document is being replaced with the Interim Order for Civil Aviation Respecting Requirements Related to Vaccination Due to COVID-19, No. 3 (CA-Vol.156,No.26(3856)), which ceases to have effect on June 20,2022. This change effectively revokes COVID-19 vaccination requirements for air travellers into Canada. More information about the change, including any additional effective dates, is available &lt;a href="https://canadagazetteducanada.gc.ca/rp-pr/p1/2022/2022-06-25/html/notice-avis-eng.html#na2" target="_blank"&gt;here&lt;/a&gt;.</t>
  </si>
  <si>
    <t>CA-Vol.156,No.24(2912)</t>
  </si>
  <si>
    <t>Interim Order Respecting Certain Requirements for Civil Aviation Due to COVID-19, No. 64</t>
  </si>
  <si>
    <t>This document is being replaced by the Interim Order Respecting Certain Requirements for Civil Aviation Due to COVID-19, No. 65 (CA-Vol.156,No.26(3889)). The effect of this change is to remove obsolete provisions related to the COVID-19 vaccination and testing requirements for air travellers that were repealed by the Interim Order for Civil Aviation Respecting Requirements Related to Vaccination Due to COVID-19, No. 3 (CA-Vol.156,No.26(3856)). The first effective date of the document that makes the change is June 14, 2022. More information about the change, including any additional effective dates, is available &lt;a href="https://canadagazetteducanada.gc.ca/rp-pr/p1/2022/2022-06-25/html/notice-avis-eng.html#nc1" target="_blank"&gt;here&lt;/a&gt;.</t>
  </si>
  <si>
    <t>CA-SOR/2022-127</t>
  </si>
  <si>
    <t>Ukraine Goods Remission Order</t>
  </si>
  <si>
    <t>CA-SOR/2016-193</t>
  </si>
  <si>
    <t>Surface Coating Materials Regulations</t>
  </si>
  <si>
    <t>CA-SOR/2022-122</t>
  </si>
  <si>
    <t>Regulations Amending Certain Regulations Made Under the Canada Consumer Product Safety Act (Surface Coating Materials)</t>
  </si>
  <si>
    <t>A change to this document has been announced. The effect of this change is notably to revise the definition of "surface coating material" to remove the condition that it does not include materials that become a part of the substrate and to clarify requirements for lead content in surface coating materials. The first effective date of the document that makes the change is December 19, 2022. More information about the change, including any additional effective dates, is available &lt;a href="https://canadagazetteducanada.gc.ca/rp-pr/p2/2022/2022-06-22/html/sor-dors122-eng.html" target="_blank"&gt;here&lt;/a&gt;.</t>
  </si>
  <si>
    <t>CA-SOR/2019-150</t>
  </si>
  <si>
    <t>Air Passenger Protection Regulations</t>
  </si>
  <si>
    <t>CA-SOR/2022-134</t>
  </si>
  <si>
    <t>Regulations Amending the Air Passenger Protection Regulations</t>
  </si>
  <si>
    <t>A change to this document has been announced. The first effective date of the document that makes the change is September 8, 2022. More information about the change, including any additional effective dates, is available &lt;a href="https://canadagazetteducanada.gc.ca/rp-pr/p2/2022/2022-06-22/html/sor-dors134-eng.html" target="_blank"&gt;here&lt;/a&gt;.</t>
  </si>
  <si>
    <t>CA-SOR/2022-126</t>
  </si>
  <si>
    <t>Order 2022-87-04-01 Amending the Domestic Substances List</t>
  </si>
  <si>
    <t>CA-SOR/2022-137</t>
  </si>
  <si>
    <t>Order 2021-112-21-01 Amending the Domestic Substances List</t>
  </si>
  <si>
    <t>SOR/2013-211</t>
  </si>
  <si>
    <t>Explosives Regulations, 2013</t>
  </si>
  <si>
    <t>CA-SOR/2022-121</t>
  </si>
  <si>
    <t>Regulations Amending the Explosives Regulations, 2013 (Restricted Components)</t>
  </si>
  <si>
    <t>A change to this document has been announced. According to the government, the effect of this change is notably to:&lt;ul&gt;&lt;/ul&gt;&lt;li&gt;add calcium ammonium nitrate (CAN) as a Tier 1 restricted component, add "hexamethylenetetramine (commonly called hexamine), CAS RN 100-97-0 and aluminum powder, CAS RN 7429-90-5, in dry form and with a particle size of less than 200 μm, as Tier 2 restricted components", and add acetone (CAS RN 67-64-1) as a Tier 3 restricted component;&lt;li&gt;"add ammonium nitrate and calcium ammonium nitrate when contained in cold packs (also known as instant cold packs or instant cold compress" to Tier 3;&lt;li&gt;replace United Nations (UN) dangerous goods numbers with Chemical Abstracts Service Registry Numbers (CAS RN) and concentration limits by weight (w/w);&lt;li&gt;clarify definitions of "component seller" and "product seller" to mean a person who sells or manufactures a product, respectively; and&lt;li&gt;revise the document layout for ease of use by creating three separate divisions (Tiers 1, 2, and 3) and listing the requirements for each substance tier.&lt;ul&gt;&lt;/ul&gt; The first effective date of the document that makes the change is June 3, 2023. More information about the change, including any additional effective dates, is available &lt;a href="https://canadagazetteducanada.gc.ca/rp-pr/p2/2022/2022-06-22/html/sor-dors121-eng.html" target="_blank"&gt;here&lt;/a&gt;.</t>
  </si>
  <si>
    <t>CA-SOR/2022-125</t>
  </si>
  <si>
    <t>CA-SOR/2022-135</t>
  </si>
  <si>
    <t>Regulations Amending the Wildlife Area Regulations and the Environmental Violations Administrative Monetary Penalties Regulations</t>
  </si>
  <si>
    <t>CRC,c1609</t>
  </si>
  <si>
    <t>Wildlife Area Regulations</t>
  </si>
  <si>
    <t>A change to this document has been announced. The effect of this change is notably to designate the Big Glace Bay Lake National Wildlife Area in Nova Scotia as a wildlife area and establish the activities permitted in that area and revise the boundaries of the Prince Edward Point National Wildlife Area in Ontario. Entry to designated wildlife areas is prohibited except for individuals authorized to enter through the issuance of a permit. &lt;p&gt;The change also permits non-commercial sport fishing in designated areas of the Last Mountain Lake National Wildlife Area during a prescribed period and permits sport hunting of migratory game birds with dogs offleash in the following wildlife areas:&lt;li&gt;In Manitoba: Pope National Wildlife Area and Rockwood National Wildlife Area;&lt;li&gt;In Saskatchewan: Bradwell National Wildlife Area, Prairie National Wildlife Area, Stalwart National Wildlife Area, Tway National Wildlife Area, Webb National Wildlife Area, and Last Mountain Lake National Wildlife Area; and&lt;li&gt;In Alberta: Blue Quills National Wildlife Area and Spiers Lake National Wildlife Area.&lt;ul&gt;&lt;/ul&gt; The first effective date of the document that makes the change is June 10, 2022. More information about the change, including any additional effective dates, is available &lt;a href="https://canadagazetteducanada.gc.ca/rp-pr/p2/2022/2022-06-22/html/sor-dors135-eng.html" target="_blank"&gt;here&lt;/a&gt;.</t>
  </si>
  <si>
    <t>CA-SOR/2019-251</t>
  </si>
  <si>
    <t>Patent Rules</t>
  </si>
  <si>
    <t>CA-SOR/2022-120</t>
  </si>
  <si>
    <t>Rules Amending the Patent Rules</t>
  </si>
  <si>
    <t>A change to this document has been announced. The first effective date of the document that makes the change is July 1, 2022. More information about the change, including any additional effective dates, is available &lt;a href="https://canadagazetteducanada.gc.ca/rp-pr/p2/2022/2022-06-22/html/sor-dors120-eng.html" target="_blank"&gt;here&lt;/a&gt;.</t>
  </si>
  <si>
    <t>CRC,c1436</t>
  </si>
  <si>
    <t>Life Saving Equipment Regulations</t>
  </si>
  <si>
    <t>CA-SOR/2022-136</t>
  </si>
  <si>
    <t>Regulations Amending the Life Saving Equipment Regulations</t>
  </si>
  <si>
    <t>A change to this document has been announced. The effect of this change is to provide that inflatable survival equipment may be serviced every other year provided that the ship on which the equipment is carried only operates during months where the historical average temperature is above freezing. The first effective date of the document that makes the change is December 22, 2022. More information about the change, including any additional effective dates, is available &lt;a href="https://canadagazetteducanada.gc.ca/rp-pr/p2/2022/2022-06-22/html/sor-dors136-eng.html" target="_blank"&gt;here&lt;/a&gt;.</t>
  </si>
  <si>
    <t>SOR/2012-134</t>
  </si>
  <si>
    <t>Regulations Designating Regulatory Provisions for Purposes of Enforcement (Canadian Environmental Protection Act, 1999)</t>
  </si>
  <si>
    <t>CA-SOR/2022-138</t>
  </si>
  <si>
    <t>Single-use Plastics Prohibition Regulations</t>
  </si>
  <si>
    <t>A change to this document has been announced. The effect of this change is to prescribe designated offences of the new Single-use Plastics Prohibition Regulations (CA-SOR/2022-138). The first effective date of the document that makes the change is December 20, 2022. More information about the change, including any additional effective dates, is available &lt;a href="https://canadagazetteducanada.gc.ca/rp-pr/p2/2022/2022-06-22/html/sor-dors138-eng.html" target="_blank"&gt;here&lt;/a&gt;.</t>
  </si>
  <si>
    <t>CA-NB-SNB2022,c35</t>
  </si>
  <si>
    <t>Child and Youth Well-Being Act</t>
  </si>
  <si>
    <t>SNB1983,cO-0.2</t>
  </si>
  <si>
    <t>CA-NB-SNB2022,c32</t>
  </si>
  <si>
    <t>An Act to Amend the Occupational Health and Safety Act</t>
  </si>
  <si>
    <t>An act amending this document is coming into force on September 1, 2020. The effect of the changes is notably to add provisions related to administrative penalities and associated fees. More information about the change, including any additional effective dates, is available &lt;a href="https://www2.snb.ca/content/dam/snb/Gazette/2020/rg20200819.pdf" target="_blank"&gt;here&lt;/a&gt; and &lt;a href="https://www2.gnb.ca/content/dam/gnb/Departments/ag-pg/PDF/ActsLois/2020/Chap-19.pdf" target="_blank"&gt;here&lt;/a&gt;.</t>
  </si>
  <si>
    <t>SNB1982,cE-7.2</t>
  </si>
  <si>
    <t>CA-NB-SNB2022,c33</t>
  </si>
  <si>
    <t>An Act to Amend the Employment Standards Act</t>
  </si>
  <si>
    <t>A change to this document has been announced. The first effective date of the document that makes the change is June 10, 2022. More information about the change, including any additional effective dates, is available &lt;a href="https://www2.gnb.ca/content/dam/gnb/Departments/ag-pg/PDF/ActsLois/2022/chapter-33.pdf" target="_blank"&gt;here&lt;/a&gt;.</t>
  </si>
  <si>
    <t>CA-NB-RSNB1973,cR-2</t>
  </si>
  <si>
    <t>Real Property Tax Act</t>
  </si>
  <si>
    <t>CA-NB-SNB2022,c38</t>
  </si>
  <si>
    <t>An Act Respecting Heavy Industrial Property</t>
  </si>
  <si>
    <t>A change to this document has been announced. The first effective date of the document that makes the change is January 1, 2022. More information about the change, including any additional effective dates, is available &lt;a href="https://www2.gnb.ca/content/dam/gnb/Departments/ag-pg/PDF/ActsLois/2022/chapter-10.pdf" target="_blank"&gt;here&lt;/a&gt;.</t>
  </si>
  <si>
    <t>CA-NB-RSNB1973,cA-14</t>
  </si>
  <si>
    <t>Assessment Act</t>
  </si>
  <si>
    <t>A change to this document has been announced. The first effective date of the document that makes the change is June 10, 2022. More information about the change, including any additional effective dates, is available &lt;a href="https://www2.gnb.ca/content/dam/gnb/Departments/ag-pg/PDF/ActsLois/2022/chapter-38.pdf" target="_blank"&gt;here&lt;/a&gt;.</t>
  </si>
  <si>
    <t>CA-NB-SNB2022,c31</t>
  </si>
  <si>
    <t>An Act Respecting Local Governance Reform, 2022</t>
  </si>
  <si>
    <t>CA-NT-Bill52(19-2)</t>
  </si>
  <si>
    <t>Bill 52 - Elevators and Lift Act</t>
  </si>
  <si>
    <t>CA-NU-SNu2022,c7</t>
  </si>
  <si>
    <t>An Act to Amend Certain Acts Respecting the National Day for Truth and Reconciliation</t>
  </si>
  <si>
    <t>CA-NB-SNB2022,c10</t>
  </si>
  <si>
    <t>An Act to Amend the Real Property Tax Act</t>
  </si>
  <si>
    <t>CA-NB-RSNB2014,c4</t>
  </si>
  <si>
    <t>Prescription and Catastrophic Drug Insurance Act</t>
  </si>
  <si>
    <t>CA-NB-SNB2022,c11</t>
  </si>
  <si>
    <t>An Act to Amend the Prescription and Catastrophic Drug Insurance Act</t>
  </si>
  <si>
    <t>RSNB1973,cF-13</t>
  </si>
  <si>
    <t>Fire Prevention Act</t>
  </si>
  <si>
    <t>CA-NB-SNB2022,c14</t>
  </si>
  <si>
    <t>An Act to Amend the Fire Prevention Act</t>
  </si>
  <si>
    <t>A change to this document has been announced. The effect of this change is notably to (1) revise the definition of "sleeping accommodation", which alters the applicability of the act to cover "any building used for residential occupancy in which is contained three or more self-contained units above the ground floor" and (2) add compliance standards for automatic sprinkler systems to be complied with by a building owner or occupant. The first effective date of the document that makes the change is yet to be announced. More information about the change, including any additional effective dates, is available &lt;a href="https://www2.gnb.ca/content/dam/gnb/Departments/ag-pg/PDF/ActsLois/2022/chapter-14.pdf" target="_blank"&gt;here&lt;/a&gt;.</t>
  </si>
  <si>
    <t>CA-NB-SNB2022,c12</t>
  </si>
  <si>
    <t>An Act to Amend the Public Health Act</t>
  </si>
  <si>
    <t>CA-NB-RSNB1973,cW-13</t>
  </si>
  <si>
    <t>Workers’ Compensation Act</t>
  </si>
  <si>
    <t>A change to this document has been announced. The first effective date of the document that makes the change is March 26, 2021. More information about the change, including any additional effective dates, is available &lt;a href="https://www2.gnb.ca/content/dam/gnb/Departments/ag-pg/PDF/ActsLois/2021/Chap-3.pdf" target="_blank"&gt;here&lt;/a&gt;.</t>
  </si>
  <si>
    <t>CA-NB-SNB1987,cP-22.1</t>
  </si>
  <si>
    <t>Provincial Offences Procedure Act</t>
  </si>
  <si>
    <t>RSNB2011,c203</t>
  </si>
  <si>
    <t>Pesticides Control Act</t>
  </si>
  <si>
    <t>CA-NB-SNB1979,cM-21.01</t>
  </si>
  <si>
    <t>Municipal Elections Act</t>
  </si>
  <si>
    <t>CA-NB-RSNB1973,cE-3</t>
  </si>
  <si>
    <t>Elections Act</t>
  </si>
  <si>
    <t>CA-NB-RSNB2012,c19</t>
  </si>
  <si>
    <t>Apprenticeship and Occupational Certification Act</t>
  </si>
  <si>
    <t>CA-NB-SNB1981,cB-9.1</t>
  </si>
  <si>
    <t>Business Corporations Act</t>
  </si>
  <si>
    <t>CA-NB-SNB2022,c16</t>
  </si>
  <si>
    <t>An Act to Amend the Business Corporations Act</t>
  </si>
  <si>
    <t>A change to this document has been announced. The first effective date of the document that makes the change is June 10, 2022. More information about the change, including any additional effective dates, is available &lt;a href="https://www2.gnb.ca/content/dam/gnb/Departments/ag-pg/PDF/ActsLois/2022/chapter-16.pdf" target="_blank"&gt;here&lt;/a&gt;.</t>
  </si>
  <si>
    <t>CA-NB-SNB2022,c25</t>
  </si>
  <si>
    <t>CA-NB-SNB2000,cN-6.001</t>
  </si>
  <si>
    <t>New Brunswick Income Tax Act</t>
  </si>
  <si>
    <t>CA-NB-SNB2022,c24</t>
  </si>
  <si>
    <t>An Act to Amend the New Brunswick Income Tax Act</t>
  </si>
  <si>
    <t>A change to this document has been announced. The first effective date of the document that makes the change is January 1, 2022. More information about the change, including any additional effective dates, is available &lt;a href="https://www2.gnb.ca/content/dam/gnb/Departments/ag-pg/PDF/ActsLois/2022/chapter-24.pdf" target="_blank"&gt;here&lt;/a&gt;.</t>
  </si>
  <si>
    <t>RSNB1973,cH-5</t>
  </si>
  <si>
    <t>Highway Act</t>
  </si>
  <si>
    <t>CA-NB-SNB2022,c26</t>
  </si>
  <si>
    <t>An Act to Amend the Highway Act</t>
  </si>
  <si>
    <t>RSNB1973,cM-17</t>
  </si>
  <si>
    <t>Motor Vehicle Act</t>
  </si>
  <si>
    <t>CA-NB-SNB2022,c34</t>
  </si>
  <si>
    <t>An Act to Amend the Motor Vehicle Act</t>
  </si>
  <si>
    <t>A change to this document has been announced. The first effective date of the document is yet to be announced. More information about the change, including any additional effective dates, is available &lt;a href="https://www2.gnb.ca/content/dam/gnb/Departments/ag-pg/PDF/ActsLois/2022/chapter-34.pdf" target="_blank"&gt;here&lt;/a&gt;.</t>
  </si>
  <si>
    <t>CA-NB-SNB2013,c35</t>
  </si>
  <si>
    <t>Marshland Infrastructure Maintenance Act</t>
  </si>
  <si>
    <t>CA-NB-SNB2022,c27</t>
  </si>
  <si>
    <t>An Act to Amend the Marshland Infrastructure Maintenance Act</t>
  </si>
  <si>
    <t>A change to this document has been announced. The first effective date of the document that makes the change is June 10, 2022. More information about the change, including any additional effective dates, is available &lt;a href="https://www2.gnb.ca/content/dam/gnb/Departments/ag-pg/PDF/ActsLois/2022/chapter-27.pdf" target="_blank"&gt;here&lt;/a&gt;.</t>
  </si>
  <si>
    <t>RSNB2011,c232</t>
  </si>
  <si>
    <t>Transportation of Dangerous Goods Act</t>
  </si>
  <si>
    <t>CA-NB-SNB2009,cS-0.5</t>
  </si>
  <si>
    <t>Safer Communities and Neighbourhoods Act</t>
  </si>
  <si>
    <t>CA-NB-SNB2005,cP-8.5</t>
  </si>
  <si>
    <t>Pipeline Act, 2005</t>
  </si>
  <si>
    <t>A change to this document has been announced. The effect of this change is to clarify that applicants for a permit to construct a pipeline to file copies of the application and any required accompanying information or material to the Ministry of Public Safety (instead of the Ministry of Justice and Public Safety). The first effective date of the document that makes the change is February 24, 2022. More information about the change, including any additional effective dates, is available &lt;a href="https://www2.gnb.ca/content/dam/gnb/Departments/ag-pg/PDF/ActsLois/2022/chapter-28.pdf" target="_blank"&gt;here&lt;/a&gt; on page 11.</t>
  </si>
  <si>
    <t>CA-NB-RSNB1973,cI-4</t>
  </si>
  <si>
    <t>Industrial Relations Act</t>
  </si>
  <si>
    <t>CA-NB-RSNB1973,cE-11</t>
  </si>
  <si>
    <t>A change to this document has been announced. The first effective date of the document that makes the change is February 24, 2022. More information about the change, including any additional effective dates, is available &lt;a href="https://www2.gnb.ca/content/dam/gnb/Departments/ag-pg/PDF/ActsLois/2022/chapter-28.pdf" target="_blank"&gt;here&lt;/a&gt; on page 7.</t>
  </si>
  <si>
    <t>CA-NB-RSNB2011,c144</t>
  </si>
  <si>
    <t>Electrical Installation and Inspection Act</t>
  </si>
  <si>
    <t>A change to this document has been announced. The first effective date of the document that makes the change is February 24, 2022. More information about the change, including any additional effective dates, is available &lt;a href="https://www2.gnb.ca/content/dam/gnb/Departments/ag-pg/PDF/ActsLois/2022/chapter-28.pdf" target="_blank"&gt;here&lt;/a&gt; on page 6.</t>
  </si>
  <si>
    <t>CA-NB-SNB1985,cO-1.5</t>
  </si>
  <si>
    <t>Off-Road Vehicle Act</t>
  </si>
  <si>
    <t>An Act amending this document is coming into force on January 1, 2021. More information about the change, including any additional effective dates, is available &lt;a href="https://www2.snb.ca/content/dam/snb/Gazette/2021/rg-2021-01-13.pdf" target="_blank"&gt;here&lt;/a&gt; and &lt;a href="https://www2.gnb.ca/content/dam/gnb/Departments/ag-pg/PDF/ActsLois/2020/Chap-16.pdf" target="_blank"&gt;here&lt;/a&gt;.</t>
  </si>
  <si>
    <t>CA-NB-NBReg83-68</t>
  </si>
  <si>
    <t>Notice of Default Form Regulation</t>
  </si>
  <si>
    <t>CA-NB-RSNB1973,cL-10</t>
  </si>
  <si>
    <t>Liquor Control Act</t>
  </si>
  <si>
    <t>A change to this document has been announced. The first effective date of the document that makes the change is February 24, 2022. More information about the change, including any additional effective dates, is available &lt;a href="https://www2.gnb.ca/content/dam/gnb/Departments/ag-pg/PDF/ActsLois/2022/chapter-28.pdf" target="_blank"&gt;here&lt;/a&gt; at section 32.</t>
  </si>
  <si>
    <t>CA-NB-RSNB1973,cJ-2</t>
  </si>
  <si>
    <t>Judicature Act</t>
  </si>
  <si>
    <t>RSNB1973,cE-6</t>
  </si>
  <si>
    <t>Elevators and Lifts Act</t>
  </si>
  <si>
    <t>CA-NB-RSNB1973,cC-23</t>
  </si>
  <si>
    <t>Coroners Act</t>
  </si>
  <si>
    <t>CA-NB-NBReg2020-20</t>
  </si>
  <si>
    <t>Building Permit Prerequisites Regulation – Community Planning Act</t>
  </si>
  <si>
    <t>CA-NB-SNB2020,c8</t>
  </si>
  <si>
    <t>Building Code Administration Act</t>
  </si>
  <si>
    <t>CA-SC2022,c5,s10</t>
  </si>
  <si>
    <t>Underused Housing Tax Act</t>
  </si>
  <si>
    <t>CA-YT-YOIC2022/106</t>
  </si>
  <si>
    <t>Firefighters Listed Diseases and Minimum Cumulative Periods of Service Regulation</t>
  </si>
  <si>
    <t>CA-BillC-287(44-1)</t>
  </si>
  <si>
    <t>Bill C-287 - An Act to amend the Pest Control Products Act (glyphosate)</t>
  </si>
  <si>
    <t>CA-QC-SQ2022,c15</t>
  </si>
  <si>
    <t>An Act to terminate the public health emergency while maintaining transitional measures necessary to protect the health of the population</t>
  </si>
  <si>
    <t>CA-QC-MO2022-032</t>
  </si>
  <si>
    <t>This document is being repealed, effective December 31, 2022. More information about the change, including any additional effective dates, is available &lt;a href="http://www2.publicationsduquebec.gouv.qc.ca/dynamicSearch/telecharge.php?type=5&amp;file=2022C15A.PDF" target="_blank"&gt;here&lt;/a&gt; at section 2(3).</t>
  </si>
  <si>
    <t>RSBC2015,c1</t>
  </si>
  <si>
    <t>Local Government Act</t>
  </si>
  <si>
    <t>CA-BC-BCReg135/2022</t>
  </si>
  <si>
    <t>Proclamation of the Municipal Affairs Statutes Amendment Act (No. 2), 2021, s. 5, 20, 47, 53, 54</t>
  </si>
  <si>
    <t>A change to this document has been announced. The first effective date of the document that makes the change is June 2, 2022. More information about the change, including any additional effective dates, is available &lt;a href="https://www.leg.bc.ca/parliamentary-business/legislation-debates-proceedings/42nd-parliament/3rd-session/bills/third-reading/gov20-3" target="_blank"&gt;here&lt;/a&gt;.</t>
  </si>
  <si>
    <t>SNWT2007,c13</t>
  </si>
  <si>
    <t>CA-NT-SNWT2022,c8</t>
  </si>
  <si>
    <t>An Act to Amend the Employment Standards Act, No. 2</t>
  </si>
  <si>
    <t>A change to this document has been announced. The first effective date of the document that makes the change is June 3, 2022. More information about the change, including any additional effective dates, is available &lt;a href="https://www.justice.gov.nt.ca/en/files/bills/19/2022.2/Bill_47.pdf" target="_blank"&gt;here&lt;/a&gt;.</t>
  </si>
  <si>
    <t>RSNWT1988,cM-16</t>
  </si>
  <si>
    <t>Motor Vehicles Act</t>
  </si>
  <si>
    <t>CA-NT-SNWT2022,c10</t>
  </si>
  <si>
    <t>An Act to Amend the Motor Vehicles Act</t>
  </si>
  <si>
    <t>A change to this document has been announced. The first effective date of the document that makes the change is June 3, 2022. More information about the change, including any additional effective dates, is available &lt;a href="https://www.justice.gov.nt.ca/en/files/bills/19/2022.2/Bill_46.pdf" target="_blank"&gt;here&lt;/a&gt;.</t>
  </si>
  <si>
    <t>BCReg210/2004</t>
  </si>
  <si>
    <t>Railway Safety Adopted Provisions Regulation</t>
  </si>
  <si>
    <t>CA-BC-BCReg134/2022</t>
  </si>
  <si>
    <t>Railway Safety Adopted Provisions Regulation 2022-06-14 Amendments</t>
  </si>
  <si>
    <t>A change to this document has been announced. The effect of this change is to incorporate by reference the updated federal rules concerning rail safety and occupational health of railway employees. The first effective date of the document that makes the change is June 9, 2022. More information about the change, including any additional effective dates, is available &lt;a href="https://www.bclaws.gov.bc.ca/civix/document/id/mo/mo/m0166_2022" target="_blank"&gt;here&lt;/a&gt;.</t>
  </si>
  <si>
    <t>SS2009,cT-20.2</t>
  </si>
  <si>
    <t>Trespass to Property Act</t>
  </si>
  <si>
    <t>CA-SK-SS2022,c45</t>
  </si>
  <si>
    <t>The Trespass to Property Amendment Act, 2021</t>
  </si>
  <si>
    <t>A change to this document has been announced. The first effective date of the document that makes the change is May 18, 2022. More information about the change, including any additional effective dates, is available &lt;a href="https://publications.saskatchewan.ca/api/v1/products/118194/formats/135881/download" target="_blank"&gt;here&lt;/a&gt;.</t>
  </si>
  <si>
    <t>SS1994,cP-37.1</t>
  </si>
  <si>
    <t>Public Health Act, 1994</t>
  </si>
  <si>
    <t>CA-SK-SS2022,c41</t>
  </si>
  <si>
    <t>The Statute Law Amendment Act, 2021 (No. 2)</t>
  </si>
  <si>
    <t>A change to this document has been announced. The first effective date of the document that makes the change has not yet been announced. More information about the change, including any additional effective dates, is available &lt;a href="https://publications.saskatchewan.ca/api/v1/products/115796/formats/131550/download" target="_blank"&gt;here&lt;/a&gt;.</t>
  </si>
  <si>
    <t>SS1986,cP-1.1</t>
  </si>
  <si>
    <t>Parks Act</t>
  </si>
  <si>
    <t>CA-SK-SS2019,cL-10.2</t>
  </si>
  <si>
    <t>The Legislation Act</t>
  </si>
  <si>
    <t>CA-SK-SS2022,c25</t>
  </si>
  <si>
    <t>The Non-profit Corporations Act, 2021</t>
  </si>
  <si>
    <t>A change to this document has been announced. The first effective date of the document that makes the change has not yet been announced. More information about the change, including any additional effective dates, is available &lt;a href="https://publications.saskatchewan.ca/api/v1/products/118165/formats/135838/download" target="_blank"&gt;here&lt;/a&gt;.</t>
  </si>
  <si>
    <t>CCSMcF175</t>
  </si>
  <si>
    <t>The Freedom of Information and Protection of Privacy Act</t>
  </si>
  <si>
    <t>CA-MB-CCSMcF26</t>
  </si>
  <si>
    <t>The Family Support Enforcement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</si>
  <si>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href="https://web2.gov.mb.ca/laws/statutes/2022/c02022e.php" target="_blank"&gt;here&lt;/a&gt;.</t>
  </si>
  <si>
    <t>CCSMcD12</t>
  </si>
  <si>
    <t>Dangerous Goods Handling and Transportation Act</t>
  </si>
  <si>
    <t>CCSMcW200</t>
  </si>
  <si>
    <t>The Workers Compensation Act</t>
  </si>
  <si>
    <t>CA-MB-SM2022,c24</t>
  </si>
  <si>
    <t>The Minor Amendments and Corrections Act, 2022</t>
  </si>
  <si>
    <t>A change to this document has been announced. The first effective date of the document that makes the change is June 1, 2022. More information about the change, including any additional effective dates, is available &lt;a href="https://web2.gov.mb.ca/laws/statutes/2022/c02422e.php" target="_blank"&gt;here&lt;/a&gt;.</t>
  </si>
  <si>
    <t>CCSMcE110</t>
  </si>
  <si>
    <t>The Employment Standards Code</t>
  </si>
  <si>
    <t>A change to this document has been announced. The first effective date of the document that makes the change is June 1, 2022. More information about the change, including any additional effective dates, is available &lt;a href="https://web2.gov.mb.ca/laws/statutes/2022/c03122e.php" target="_blank"&gt;here&lt;/a&gt;.</t>
  </si>
  <si>
    <t>CCSMcL178</t>
  </si>
  <si>
    <t>The Lobbyists Registration Act</t>
  </si>
  <si>
    <t>CA-MB-SM2022,c20</t>
  </si>
  <si>
    <t>The Officers of the Assembly Act (Various Acts Amended)</t>
  </si>
  <si>
    <t>A change to this document has been announced. The first effective date of the document that makes the change has not yet been announced. More information about the change, including any additional effective dates, is available &lt;a href="https://web2.gov.mb.ca/laws/statutes/2021/c02321e.php" target="_blank"&gt;here&lt;/a&gt;.</t>
  </si>
  <si>
    <t>CA-MB-SM2022,c19</t>
  </si>
  <si>
    <t>The Reducing Red Tape and Improving Services Act, 2022</t>
  </si>
  <si>
    <t>CA-MB-SM2022,c31</t>
  </si>
  <si>
    <t>The Employment Standards Code Amendment Act (Minimum Wage)</t>
  </si>
  <si>
    <t>CA-QC-OC1129-2022</t>
  </si>
  <si>
    <t>Easing of certain measures to protect the health of the population amid the COVID-19 pandemic situation</t>
  </si>
  <si>
    <t>CA-SK-SS2022,c2</t>
  </si>
  <si>
    <t>The Animal Production Act</t>
  </si>
  <si>
    <t>CA-SK-SS2022,c29</t>
  </si>
  <si>
    <t>The Traffic Safety Amendment Act, 2021</t>
  </si>
  <si>
    <t>CA-SK-SS2022,c19</t>
  </si>
  <si>
    <t>The Legislation Amendment Act, 2021</t>
  </si>
  <si>
    <t>CA-SK-SS2022,c26</t>
  </si>
  <si>
    <t>The Non-profit Corporations Consequential Amendments Act, 2021</t>
  </si>
  <si>
    <t>SS2007,cP-13.2</t>
  </si>
  <si>
    <t>Planning and Development Act</t>
  </si>
  <si>
    <t>SS2001,cM-14.01</t>
  </si>
  <si>
    <t>Métis Act</t>
  </si>
  <si>
    <t>SS1996,cC-27.01</t>
  </si>
  <si>
    <t>Conservation Easements Act</t>
  </si>
  <si>
    <t>A change to this document has been announced. The effect of this change is to revise the list of entities permitted to hold a conservation easement by replacing "corporations" as defined in The Non‑profit Corporations Act, 1995 with "corporations" as defined in The Non‑profit Corporations Act, 2021 (CA-SK-SS2022,c25). The first effective date of the document that makes the change is May 18, 2022. More information about the change, including any additional effective dates, is available &lt;a href="https://publications.saskatchewan.ca/api/v1/products/118160/formats/135829/download" target="_blank"&gt;here&lt;/a&gt;.</t>
  </si>
  <si>
    <t>CA-PE-EC2021-506</t>
  </si>
  <si>
    <t>Water Withdrawal Regulations</t>
  </si>
  <si>
    <t>CA-PE-EC2022-452</t>
  </si>
  <si>
    <t>Water Withdrawal Regulations Amendment</t>
  </si>
  <si>
    <t>A change to this document has been announced. The effect of the change, according to the government, is notably to permit:&lt;ul&gt;&lt;/ul&gt;&lt;li&gt; "the issuance of a groundwater exploration permit for the drilling, construction or reconstruction of a high capacity well for the purpose of agricultural irrigation";&lt;li&gt;"the issuance of a water withdrawal permit for the withdrawal of water from a high capacity well for the purpose of agricultural irrigation [... and impose] on such a permit the term and condition that irrigation of any kind is to be conducted in accordance with an irrigation strategy approved by the Minister"; and&lt;li&gt; "the amendment of a [water withdrawal] permit to authorize the withdrawal of water from a high capacity well for the purpose of agricultural irrigation."&lt;ul&gt;&lt;/ul&gt; The first effective date of the document that makes the change is June 11, 2022. More information about the change, including any additional effective dates, is available &lt;a href="https://www.princeedwardisland.ca/sites/default/files/publications/royal_gazette/rg_issue_24-june_11_2022_complete.pdf" target="_blank"&gt;here&lt;/a&gt;.</t>
  </si>
  <si>
    <t>CA-QC-OC933-2022</t>
  </si>
  <si>
    <t>Regulation to amend the Regulation respecting the recovery and reclamation of products by enterprises</t>
  </si>
  <si>
    <t>Alta.Reg.31/2006</t>
  </si>
  <si>
    <t>Food Regulation</t>
  </si>
  <si>
    <t>CA-AB-AR85/2022</t>
  </si>
  <si>
    <t>Food Amendment Regulation</t>
  </si>
  <si>
    <t>A change to this document has been announced. The first effective date of the document that makes the change is May 25, 2022. More information about the change, including any additional effective dates, is available &lt;a href="https://www.qp.alberta.ca/documents/gazette/2022/pdf/11_Jun15_Part2.pdf" target="_blank"&gt;here&lt;/a&gt; on page 313 of the Gazette (page 33 of the PDF).</t>
  </si>
  <si>
    <t>RSA2000,cM-26</t>
  </si>
  <si>
    <t>CA-AB-Vol.118,No.11(433)</t>
  </si>
  <si>
    <t>Proclamation of the Municipal Government (Firearms) Amendment Act, 2020</t>
  </si>
  <si>
    <t>A change to this document has been announced. The first effective date of the document that makes the change is May 31, 2022. More information about the change, including any additional effective dates, is available &lt;a href="https://www.qp.alberta.ca/Annual_Volumes.cfm?page=/Documents/AnnualVolumes/2022/ch16_2022.html" target="_blank"&gt;here&lt;/a&gt;.</t>
  </si>
  <si>
    <t>CA-AB-AR93/2022</t>
  </si>
  <si>
    <t>Administrative Penalty (Expiry Date Extension) Amendment Regulation</t>
  </si>
  <si>
    <t>CA-AB-AltaReg43/2002</t>
  </si>
  <si>
    <t>Subdivision and Development Regulation</t>
  </si>
  <si>
    <t>This document is being replaced by the Matters Related to Subdivision and Development Regulation (CA-AB-AR84/2022). The first effective date of the document that makes the change is June 1, 2022. More information about the change, including any additional effective dates, is available &lt;a href="https://canlii.ca/t/bg7s" target="_blank"&gt;here&lt;/a&gt;.</t>
  </si>
  <si>
    <t>CA-NT-Prop2022-05-26</t>
  </si>
  <si>
    <t>Review of the Fire Prevention Act</t>
  </si>
  <si>
    <t>SA2005,cT-3.8</t>
  </si>
  <si>
    <t>Tobacco, Smoking and Vaping Reduction Act</t>
  </si>
  <si>
    <t>CA-AB-SA2022,cC-26.7</t>
  </si>
  <si>
    <t>Continuing Care Act</t>
  </si>
  <si>
    <t>A change to this document has been announced. This change is part of a suite of amendments that replace the reference to "a nursing home within the meaning of the Nursing Homes Act" and "a supportive living accommodation licensed under the Supportive Living Accommodation Licensing Act," with references to those institutions "as defined in the Continuing Care Act", as they relate to the applicability of this document to group living facilities. The first effective date of the document that makes the change has not yet been announced. More information about the change, including any additional effective dates, is available &lt;a href="https://www.qp.alberta.ca/Annual_Volumes.cfm?page=/Documents/AnnualVolumes/2022/c26p7_2022.html" target="_blank"&gt;here&lt;/a&gt;.</t>
  </si>
  <si>
    <t>SA2004,cR-17.1</t>
  </si>
  <si>
    <t>Residential Tenancies Act</t>
  </si>
  <si>
    <t>A change to this document has been announced. This change is part of a suite of amendments that replace the reference to "a nursing home within the meaning of the Nursing Homes Act" and "a supportive living accommodation licensed under the Supportive Living Accommodation Licensing Act," with references to those institutions "as defined in the Continuing Care Act", as they relate to the applicability of this document. The first effective date of the document that makes the change has not yet been announced. More information about the change, including any additional effective dates, is available &lt;a href="https://www.qp.alberta.ca/Annual_Volumes.cfm?page=/Documents/AnnualVolumes/2022/c26p7_2022.html" target="_blank"&gt;here&lt;/a&gt;.</t>
  </si>
  <si>
    <t>RSA2000,cP-37</t>
  </si>
  <si>
    <t>A change to this document has been announced. This change is part of a suite of amendments that replace the reference to "a nursing home within the meaning of the Nursing Homes Act" and "a supportive living accommodation licensed under the Supportive Living Accommodation Licensing Act" with references to those institutions "as defined [or licenced] in the Continuing Care Act" (CA-AB-SA2022,cC-26.7), as they relate to duties of persons responsible for those institutions. The first effective date of the document that makes the change has not yet been announced. More information about the change, including any additional effective dates, is available &lt;a href="https://www.qp.alberta.ca/Annual_Volumes.cfm?page=/Documents/AnnualVolumes/2022/c26p7_2022.html" target="_blank"&gt;here&lt;/a&gt;.</t>
  </si>
  <si>
    <t>RSA2000,cG-10</t>
  </si>
  <si>
    <t>Government Organization Act</t>
  </si>
  <si>
    <t>A change to this document has been announced. More information about the change, including any additional effective dates, is available &lt;a href="https://www.qp.alberta.ca/Annual_Volumes.cfm?page=/Documents/AnnualVolumes/2022/c26p7_2022.html" target="_blank"&gt;here&lt;/a&gt;.</t>
  </si>
  <si>
    <t>CA-NL-SNL2022,c.E-7.03</t>
  </si>
  <si>
    <t>Emergency 911 Act, 2022</t>
  </si>
  <si>
    <t>CA-NL-SNL2022,c19</t>
  </si>
  <si>
    <t>An Act to Amend the Revenue Administration Act No. 6</t>
  </si>
  <si>
    <t>RSA2000,cH-16</t>
  </si>
  <si>
    <t>Hydro and Electric Energy Act</t>
  </si>
  <si>
    <t>A change to this document has been announced. The effect of this change is to make various existing provisions apply to energy storage facilities. Notably, it:&lt;ul&gt;&lt;/ul&gt;&lt;li&gt;revises the definitions of "electric distribution system" and "transmission line" to include certain approved energy storage facilities;&lt;li&gt;establishes new rules governing energy storage facilities, including that their construction, operation, and ownership be approved by the Commission;&lt;li&gt;makes existing rules concerning connections and notices of discontinuance of operations applicable to energy storage facilities, and&lt;li&gt;for rules concerning land use and rights of way, provides that the term "operator" also refers to approval-holders for energy storage facilities.&lt;ul&gt;&lt;/ul&gt; The first effective date of the document that makes the change is May 31, 2022. More information about the change, including any additional effective dates, is available &lt;a href="https://www.qp.alberta.ca/Annual_Volumes.cfm?page=/Documents/AnnualVolumes/2022/ch08_2022.html" target="_blank"&gt;here&lt;/a&gt;.</t>
  </si>
  <si>
    <t>CA-NL-SNL2022,c14</t>
  </si>
  <si>
    <t>An Act to Amend the Urban And Rural Planning Act, 2000</t>
  </si>
  <si>
    <t>CA-NL-SNL2022,c16</t>
  </si>
  <si>
    <t>An Act to Amend the Revenue Administration Act No. 4</t>
  </si>
  <si>
    <t>RSNL1990,cF-23</t>
  </si>
  <si>
    <t>Forestry Act</t>
  </si>
  <si>
    <t>CA-NL-SNL2022,c17</t>
  </si>
  <si>
    <t>An Act to Amend the Forestry Act</t>
  </si>
  <si>
    <t>A change to this document has been announced. The effect of the changes is notably to amend timber scaler's certificate expiry to 5 years after the date of issuance. The first effective date of the document that makes the change is June 18, 2020. More information about the change, including any additional effective dates, is available &lt;a href="https://www.assembly.nl.ca/legislation/sr/annualstatutes/2020/2016.chp.htm" target="_blank"&gt;here&lt;/a&gt;.</t>
  </si>
  <si>
    <t>SBC2000,c17</t>
  </si>
  <si>
    <t>Protected Areas of British Columbia Act</t>
  </si>
  <si>
    <t>CA-BC-BCReg131/2022</t>
  </si>
  <si>
    <t>Proclamation of Protected Areas of British Columbia Amendment Act, 2022, s. 6</t>
  </si>
  <si>
    <t>Provisions of an Act amending this document are coming into force on June 6, 2022. The effect of this change is to revise the boundaries of Omineca Park. More information about the change, including any additional effective dates, is available &lt;a href="https://www.bclaws.gov.bc.ca/civix/document/id/oic/oic_cur/0289_2022" target="_blank"&gt;here&lt;/a&gt; and &lt;a href="https://www.leg.bc.ca/Pages/BCLASS-Legacy.aspx#%2Fcontent%2Fdata%2520-%2520ldp%2Fpages%2F42nd3rd%2F3rd_read%2Fgov03-3.htm" target="_blank"&gt;here&lt;/a&gt;.</t>
  </si>
  <si>
    <t>BC.Reg.320/2004</t>
  </si>
  <si>
    <t>Waste Discharge Regulation</t>
  </si>
  <si>
    <t>A change to this document has been announced. The effect of this change is to revise the definition of "contaminated site contaminant management" to include activities for the consolidation of contaminants or contaminated substances, and remove the condition that the activity must involve a discharge of waste to the environment. The first effective date of the document that makes the change is March 1, 2023. More information about the change, including any additional effective dates, is available &lt;a href="https://www.bclaws.gov.bc.ca/civix/document/id/oic/oic_cur/0292_2022" target="_blank"&gt;here&lt;/a&gt;.</t>
  </si>
  <si>
    <t>CA-QC-IN(R)2022-06-03</t>
  </si>
  <si>
    <t>Information note (Regulations) 2022-06-03</t>
  </si>
  <si>
    <t>CA-MB-SM2022,c14</t>
  </si>
  <si>
    <t>The Financial Administration Amendment Act</t>
  </si>
  <si>
    <t>SOR/2003-289</t>
  </si>
  <si>
    <t>Federal Halocarbon Regulations</t>
  </si>
  <si>
    <t>CA-SOR/2022-110</t>
  </si>
  <si>
    <t>Federal Halocarbon Regulations, 2022</t>
  </si>
  <si>
    <t>A change to this document has been announced. According to the government, the effect of this change is notably to:&lt;ul&gt;&lt;/ul&gt;&lt;li&gt;clarify that "small and large systems have their own definitions based on the charge of halocarbons they contain or are designed to contain", instead of basing the definition on refrigeration capacity;&lt;li&gt;replace references to "decommissioning" with "permanently withdrawing from use";&lt;li&gt;clarify the time period to be covered in biannual reports concerning halocarbon releases between 10 kg and 100 kg;&lt;li&gt;subject large systems containing halocarbons to a new inventory tracking requirement, which sets out certain information to be furnished;&lt;li&gt;remove "all requirements to affix notices on equipment, except for the notice related to the permanent withdrawal from use of a system";&lt;li&gt;require that certain activities "such as servicing, installation and witdrawal from use of large systems, or activities on small systems that could lead to a halocarbon release, be recorded in the activity log";&lt;li&gt;permit "regulated parties to keep records and send reports electronically;&lt;li&gt;modify "the leak test interval from once every 12 months to at least once every calendar year and no more than 15 months since the previous leak test";&lt;li&gt;increase the permit validity period for permits to install or charge a fire-extinguishing system containing certain listed substances;&lt;li&gt;incorporate by reference International Civil Aviation Organization (ICAO) standards "relating to the replacement of halons in fire-extinguishing systems in civil aviation"; and&lt;li&gt;"include an exception to allow the release of a halocarbon for the purpose of safety testing military vehicles" in certain circumstances.&lt;ul&gt;&lt;/ul&gt; The first effective date of the document that makes the change is May 20, 2022. More information about the change, including any additional effective dates, is available &lt;a href="https://canadagazetteducanada.gc.ca/rp-pr/p2/2022/2022-06-08/html/sor-dors110-eng.html" target="_blank"&gt;here&lt;/a&gt;.</t>
  </si>
  <si>
    <t>CA-Vol.156,No.23(2789)</t>
  </si>
  <si>
    <t>Interim Order for Civil Aviation Respecting Requirements Related to Vaccination Due to COVID-19</t>
  </si>
  <si>
    <t>This document is being replaced by the Interim Order for Civil Aviation Respecting Requirements Related to Vaccination Due to COVID-19, No. 2	(CA-Vol.156,No.24(2879)). The first effective date of the document that makes the change is June 1, 2022. More information about the change, including any additional effective dates, is available &lt;a href="https://canadagazetteducanada.gc.ca/rp-pr/p1/2022/2022-06-11/html/notice-avis-eng.html#na4" target="_blank"&gt;here&lt;/a&gt;.</t>
  </si>
  <si>
    <t>CA-Vol.156,No.23(2822)</t>
  </si>
  <si>
    <t>Interim Order Respecting Certain Requirements for Civil Aviation Due to COVID-19, No. 63</t>
  </si>
  <si>
    <t>This document is being replaced by the Interim Order Respecting Certain Requirements for Civil Aviation Due to COVID-19, No. 64 (CA-Vol.156,No.24(2912)). The first effective date of the document that makes the change is June 1, 2022. More information about the change, including any additional effective dates, is available &lt;a href="https://canadagazetteducanada.gc.ca/rp-pr/p1/2022/2022-06-11/html/notice-avis-eng.html#nb1" target="_blank"&gt;here&lt;/a&gt;.</t>
  </si>
  <si>
    <t>CA-Vol.156,No.16(1788)</t>
  </si>
  <si>
    <t>Minimizing the Risk of Exposure to COVID-19 in Canada Order (Quarantine, Isolation and Other Obligations)</t>
  </si>
  <si>
    <t>CA-Vol.156,No.24(2943)</t>
  </si>
  <si>
    <t>Minimizing the Risk of Exposure to COVID-19 in Canada Order</t>
  </si>
  <si>
    <t>This document and the Minimizing the Risk of Exposure to COVID-19 in Canada Order (Prohibition of Entry into Canada) (CA-Vol.156,No.16(1757)) are being replaced by the Minimizing the Risk of Exposure to COVID-19 in Canada Order (CA-Vol.156,No.24(2943)), which combines both previous orders' obligations. The first effective date of the document that makes the change is May 31, 2022. More information about the change, including any additional effective dates, is available &lt;a href="https://canadagazetteducanada.gc.ca/rp-pr/p1/2022/2022-06-11/html/order-decret-eng.html#da1" target="_blank"&gt;here&lt;/a&gt;.</t>
  </si>
  <si>
    <t>CA-Vol.156,No.16(1757)</t>
  </si>
  <si>
    <t>Minimizing the Risk of Exposure to COVID-19 in Canada Order (Prohibition of Entry into Canada)</t>
  </si>
  <si>
    <t>This document and the Minimizing the Risk of Exposure to COVID-19 in Canada Order (Quarantine, Isolation and Other Obligations) (CA-Vol.156,No.16(1788) are being replaced by the Minimizing the Risk of Exposure to COVID-19 in Canada Order (CA-Vol.156,No.24(2943)), which combines both previous orders' obligations. The first effective date of the document that makes the change is May 31, 2022. More information about the change, including any additional effective dates, is available &lt;a href="https://canadagazetteducanada.gc.ca/rp-pr/p1/2022/2022-06-11/html/order-decret-eng.html#da1" target="_blank"&gt;here&lt;/a&gt;.</t>
  </si>
  <si>
    <t>SS1997,cH-3.01</t>
  </si>
  <si>
    <t>Highways and Transportation Act, 1997</t>
  </si>
  <si>
    <t>CA-SK-SS2022,c10</t>
  </si>
  <si>
    <t>The Highways and Transportation Amendment Act, 2021</t>
  </si>
  <si>
    <t>A change to this document has been announced. The effect of this change is notably to:
&lt;ul&gt;&lt;/ul&gt;
&lt;li&gt; remove provisions applicable for automobile wreckers, including the requirement to obtain an automobile wrecker business license to conduct the business, but retain the reporting requirements such as keeping records of vehicles being wrecked;
&lt;li&gt; prohibit anyone from erecting a gate or otherwise blocking or restricting the public's right to access or use a public highway, including by way of charging a fee or toll, without the written consent of the minister;
&lt;li&gt; prohibit anyone from continuing any development (such as construction or alteration of structures or things) within 155 metres from the centre point of an intersection of any road with a provincial highway;
&lt;li&gt; prohibit anyone from erecting a certain lighting device or reflecting device within 400 meters a part of a certain provincial highway;
&lt;li&gt; allow anyone to place trees, shrubs, brush, hedge, or other plants without a permit from the minister if it is more than 30 metres away from the surveyed limit of a provincial highway; 
&lt;li&gt; require any person driving a vehicle carrying livestock, goods, merchandise, or other commodities, to conduct weighing or inspection if directed by an official sign erected within two kilometers from the weighing or inspection facility; and
&lt;li&gt; adding new definitions such as the definition of "centre point of an intersection", "development", "intersection", "vehicle", "weigh scale", and "weighing or inspection facility".
&lt;ul&gt;&lt;/ul&gt; The effective date of this document is yet to be announced. More information about the change, including any additional effective dates, is available &lt;a href="https://publications.saskatchewan.ca/api/v1/products/118135/formats/135785/download" target="_blank"&gt;here&lt;/a&gt;.</t>
  </si>
  <si>
    <t>CA-SK-SS1989-90,cE-8.1</t>
  </si>
  <si>
    <t>The Emergency Planning Act</t>
  </si>
  <si>
    <t>CA-SK-SS2022,c7</t>
  </si>
  <si>
    <t>The Emergency Planning Amendment Act, 2021 (No. 2)</t>
  </si>
  <si>
    <t>A change to this document has been announced. The first effective date of the document that makes the change is May 18, 2022. More information about the change, including any additional effective dates, is available &lt;a href="https://publications.saskatchewan.ca/api/v1/products/118133/formats/135781/download" target="_blank"&gt;here&lt;/a&gt;.</t>
  </si>
  <si>
    <t>RSA2000,cS-24</t>
  </si>
  <si>
    <t>Surface Rights Act</t>
  </si>
  <si>
    <t>CA-AB-SA2022,c14</t>
  </si>
  <si>
    <t>RSA2000,cS-1</t>
  </si>
  <si>
    <t>Safety Codes Act</t>
  </si>
  <si>
    <t>CA-AB-SA2020,cO-2.2</t>
  </si>
  <si>
    <t>This document is coming into force on December 1, 2021. More information about the change is available &lt;a href="https://www.qp.alberta.ca/documents/gazette/2021/pdf/20_Oct30_Part1.pdf" target="_blank"&gt;here&lt;/a&gt;.</t>
  </si>
  <si>
    <t>CA-AB-RSA2000,cS-26</t>
  </si>
  <si>
    <t>Surveys Act</t>
  </si>
  <si>
    <t>CA-AB-SA2022,c16</t>
  </si>
  <si>
    <t>Red Tape Reduction Statutes Amendment Act, 2022</t>
  </si>
  <si>
    <t>SA2007,cA-40.2</t>
  </si>
  <si>
    <t>Animal Health Act</t>
  </si>
  <si>
    <t>RSA2000,cE-9</t>
  </si>
  <si>
    <t>Employment Standards Code</t>
  </si>
  <si>
    <t>CA-AB-SA2022,c13</t>
  </si>
  <si>
    <t>Labour Statutes Amendment Act, 2022</t>
  </si>
  <si>
    <t>A change to this document has been announced. The first effective date of the document that makes the change is May 31, 2022. More information about the change, including any additional effective dates, is available &lt;a href="https://www.qp.alberta.ca/Annual_Volumes.cfm?page=/Documents/AnnualVolumes/2022/ch13_2022.html" target="_blank"&gt;here&lt;/a&gt;.</t>
  </si>
  <si>
    <t>SC2013,c14,s2</t>
  </si>
  <si>
    <t>Nunavut Planning and Project Assessment Act</t>
  </si>
  <si>
    <t>CA-SOR/2022-118</t>
  </si>
  <si>
    <t>Order Amending Schedule 3 to the Nunavut Planning and Project Assessment Act</t>
  </si>
  <si>
    <t>A change to this document has been announced. The effect of this change is to add four classes of works and activities that are exempt from environmental screening. The first effective date of the document that makes the change is May 27, 2022. More information about the change, including any additional effective dates, is available &lt;a href="https://canadagazetteducanada.gc.ca/rp-pr/p2/2022/2022-06-08/html/sor-dors118-eng.html" target="_blank"&gt;here&lt;/a&gt;.</t>
  </si>
  <si>
    <t>SOR/99-12</t>
  </si>
  <si>
    <t>Preliminary Screening Requirement Regulations</t>
  </si>
  <si>
    <t>CA-SOR/2022-109</t>
  </si>
  <si>
    <t>Regulations Amending the Preliminary Screening Requirement Regulations</t>
  </si>
  <si>
    <t>A change to this document has been announced. According to the Government of Canada, this change is part of a suite of amendments that update references to the relevant provisions of the soon-to-be repealed Migratory Birds Regulations (CRC,c1035) with the Migratory Birds Regulations, 2022 (CA-SOR/2022-105). The first effective date of the document that makes the change is July 30, 2022. More information about the change, including any additional effective dates, is available &lt;a href="https://canadagazetteducanada.gc.ca/rp-pr/p2/2022/2022-06-08/html/sor-dors109-eng.html" target="_blank"&gt;here&lt;/a&gt;.</t>
  </si>
  <si>
    <t>CA-SOR/2022-117</t>
  </si>
  <si>
    <t>CA-SOR/2022-102</t>
  </si>
  <si>
    <t>CRC,c1035</t>
  </si>
  <si>
    <t>Migratory Birds Regulations</t>
  </si>
  <si>
    <t>This document is being replaced by the Migratory Birds Regulations, 2022 (CA-SOR/2022-105). According to the Government of Canada, the new Regulations:&lt;ul&gt;&lt;/ul&gt;&lt;li&gt;clarify that "it is prohibited to capture, kill, take, injure or harass a migratory bird, or to attempt to do so, and that these prohibitions apply to any activity";&lt;li&gt;"include an exception to the prohibition against damaging, destroying, disturbing or removing a nest", under certain conditions;&lt;li&gt;"prohibit signs from being destroyed, damaged, altered or removed that have been erected for the purpose of preventing" certain prohibited activities;&lt;li&gt;"introduce three situations where temporary posession of a migratory bird, excluding their eggs, is allowed without the requirement to obtain a permit";&lt;li&gt;provide certain circumstances in which a migratory bird or its feathers may be gifted;&lt;li&gt;expand language concerning the rights of Indigenous peoples;&lt;li&gt;provide that "migratory game birds" include murres, and that a migratory game bird hunting (MGBH) permit is required to hunt them;&lt;li&gt;clarify that a MGBH permit holder may hunt and possess migratory game birds, excluding their eggs;&lt;li&gt;"allow minors to obtain both the MGBH permit and habitat conservation stamp free of charge";&lt;li&gt;clarify permitted hunting methods and equipment in hunting areas;&lt;li&gt;clarify rules concerning the use of vehicles, including drones, while hunting migratory birds;&lt;li&gt;"clarify that killed or wounded birds found and taken by the willing hunter must be included in their daily bag limit and posession limit";&lt;li&gt;"prohibit the abandonment of harvested migratory game birds";&lt;li&gt;clarify the applicability of daily bag and possession limits; and&lt;li&gt;revise rules concerning non-hunting permits, including scientific permits and aviculture permits. A new permit class for Charity authorizes "the permit holder to possess preserved legally harvested migratory game birds, and also [allows] these birds to be served as a meal [...] or distributed as they were received". &lt;ul&gt;&lt;/ul&gt;The first effective date of the document that makes the change is July 30, 2022. More information about the change, including any additional effective dates, is available &lt;a href="https://canadagazetteducanada.gc.ca/rp-pr/p2/2022/2022-06-08/html/sor-dors105-eng.html" target="_blank"&gt;here&lt;/a&gt;.</t>
  </si>
  <si>
    <t>SOR/81-401</t>
  </si>
  <si>
    <t>National Parks Wildlife Regulations</t>
  </si>
  <si>
    <t>A change to this document has been announced. According to the Government of Canada, the effect of this change is to update references to the relevant provisions of the soon-to-be repealed Migratory Birds Regulations (CRC,c1035) with the Migratory Birds Regulations, 2022 (CA-SOR/2022-105). The first effective date of the document that makes the change is July 30, 2022. More information about the change, including any additional effective dates, is available &lt;a href="https://canadagazetteducanada.gc.ca/rp-pr/p2/2022/2022-06-08/html/sor-dors105-eng.html" target="_blank"&gt;here&lt;/a&gt;.</t>
  </si>
  <si>
    <t>CA-SOR/78-830</t>
  </si>
  <si>
    <t>Wood Buffalo National Park Game Regulations</t>
  </si>
  <si>
    <t>SOR/2017-108</t>
  </si>
  <si>
    <t>Designation of Regulatory Provisions for Purposes of Enforcement (Migratory Birds Convention Act, 1994) Regulations</t>
  </si>
  <si>
    <t>CRC,c1036</t>
  </si>
  <si>
    <t>Migratory Bird Sanctuary Regulations</t>
  </si>
  <si>
    <t>A change to this document has been announced. According to the Government of Canada, this change is part of a suite of amendments that update references to the relevant provisions of the soon-to-be repealed Migratory Birds Regulations (CRC,c1035) with the Migratory Birds Regulations, 2022 (CA-SOR/2022-105). The first effective date of the document that makes the change is July 30, 2022. More information about the change, including any additional effective dates, is available &lt;a href="https://canadagazetteducanada.gc.ca/rp-pr/p2/2022/2022-06-08/html/sor-dors105-eng.html" target="_blank"&gt;here&lt;/a&gt;.</t>
  </si>
  <si>
    <t>NSReg206/2005</t>
  </si>
  <si>
    <t>Food Safety Regulations</t>
  </si>
  <si>
    <t>CA-NS-NSReg102/2022</t>
  </si>
  <si>
    <t>Food Safety Regulations–amendment</t>
  </si>
  <si>
    <t>A change to this document has been announced. The first effective date of the document that makes the change is May 17, 2022. More information about the change, including any additional effective dates, is available &lt;a href="https://novascotia.ca/just/regulations/rg2/2022/RG2-2022-06-03.pdf" target="_blank"&gt;here&lt;/a&gt; on page 225 of the Gazette (page 11 of the PDF).</t>
  </si>
  <si>
    <t>CA-AB-AERbulletin2022-20</t>
  </si>
  <si>
    <t>Bulletin 2022-20 New Functionality Moving to OneStop</t>
  </si>
  <si>
    <t>SC2002,c25</t>
  </si>
  <si>
    <t>Export and Import of Rough Diamonds Act</t>
  </si>
  <si>
    <t>CA-SOR/2022-115</t>
  </si>
  <si>
    <t>Order Amending the Schedule to the Export and Import of Rough Diamonds Act</t>
  </si>
  <si>
    <t>A change to this document has been announced. The first effective date of the document that makes the change is May 27, 2022. More information about the change, including any additional effective dates, is available &lt;a href="https://canadagazetteducanada.gc.ca/rp-pr/p2/2022/2022-06-08/html/sor-dors115-eng.html" target="_blank"&gt;here&lt;/a&gt;.</t>
  </si>
  <si>
    <t>CA-SOR/2022-101</t>
  </si>
  <si>
    <t>CRC,c1270</t>
  </si>
  <si>
    <t>Pacific Pilotage Regulations</t>
  </si>
  <si>
    <t>CA-SOR/2022-114</t>
  </si>
  <si>
    <t>Regulations Amending the General Pilotage Regulations</t>
  </si>
  <si>
    <t>This document is being repealed and its content is being incorporated into the General Pilotage Regulations (SOR/2000-132). The first effective date of the document that makes the change is May 20, 2022. More information about the change, including any additional effective dates, is available &lt;a href="https://canadagazetteducanada.gc.ca/rp-pr/p2/2022/2022-06-08/html/sor-dors114-eng.html" target="_blank"&gt;here&lt;/a&gt;.</t>
  </si>
  <si>
    <t>CA-CRC,c1268</t>
  </si>
  <si>
    <t>Laurentian Pilotage Authority Regulations</t>
  </si>
  <si>
    <t>CA-CRC,c1266</t>
  </si>
  <si>
    <t>Great Lakes Pilotage Regulations</t>
  </si>
  <si>
    <t>CA-CRC,c1264</t>
  </si>
  <si>
    <t>Atlantic Pilotage Authority Regulations</t>
  </si>
  <si>
    <t>This document is being repealed. Subsequent to that announcement, no customers were tracking changes to this document. As a result, no analysis of the change is available in the language that you have selected. More information about the change is available &lt;a href="https://canadagazetteducanada.gc.ca/rp-pr/p2/2022/2022-06-08/html/sor-dors114-eng.html" target="_blank"&gt;here&lt;/a&gt;.</t>
  </si>
  <si>
    <t>SOR/2000-132</t>
  </si>
  <si>
    <t>General Pilotage Regulations</t>
  </si>
  <si>
    <t>A change to this document has been announced. The effect of this change is notably to replicate the content of the four pilotage authority regulations (the Atlantic Pilotage Authority Regulations (CA-CRC,c1264), Great Lakes Pilotage Regulations (CA-CRC,c1266), Laurentian Pilotage Authority Regulations (CA-CRC,c1268), and Pacific Pilotage Regulations (CRC,c1270)), which have been repealed, into this document. The first effective date of the document that makes the change is May 20, 2022. More information about the change, including any additional effective dates, is available &lt;a href="https://canadagazetteducanada.gc.ca/rp-pr/p2/2022/2022-06-08/html/sor-dors114-eng.html" target="_blank"&gt;here&lt;/a&gt;.</t>
  </si>
  <si>
    <t>CA-RSC1985,cF-27</t>
  </si>
  <si>
    <t>Food and Drugs Act</t>
  </si>
  <si>
    <t>CA-SOR/2022-100</t>
  </si>
  <si>
    <t>Regulations Amending the Food and Drug Regulations (Exports and Transhipments of Drugs)</t>
  </si>
  <si>
    <t>A change to this document has been announced. According to the Government of Canada, the effect of this change is notably to: &lt;ul&gt;&lt;/ul&gt;&lt;li&gt;"require that a drug solely for export be fabricated, packaged/labelled, tested, distributed and wholesaled by the holder of a drug establishment licence";&lt;li&gt;require "the holder of a drug establishment licence that conducts activities with a drug solely for export [...] to comply with applicable good manufacturing practices requirements, with certain exceptions";&lt;li&gt;provide that "provisions relating to the good manufacturing of radiopharmaceutical and biologic drugs will apply to the holder of a drug establishment licence of a drug solely for export", with certain exceptions; and&lt;li&gt;"require an exporter who signs and issues an export certificate in accordance with the Regulations and the Act to retain the certificate for five years after the day on which the drug is exported".&lt;ul&gt;&lt;/ul&gt; The first effective date of the document that makes the change is December 8, 2022. More information about the change, including any additional effective dates, is available &lt;a href="https://canadagazetteducanada.gc.ca/rp-pr/p2/2022/2022-06-08/html/sor-dors100-eng.html" target="_blank"&gt;here&lt;/a&gt;.</t>
  </si>
  <si>
    <t>CA-SOR/2022-113</t>
  </si>
  <si>
    <t>CA-Vol.156,No.21(2457)</t>
  </si>
  <si>
    <t>Interim Order Respecting Certain Requirements for Civil Aviation Due to COVID-19, No. 62</t>
  </si>
  <si>
    <t>This document is being replaced by the Interim Order Respecting Certain Requirements for Civil Aviation Due to COVID-19, No. 63 (CA-Vol.156,No.23(2822)). The effect of this change is notably to remove rules governing COVID-19 vaccination requirements for persons boarding certain aircraft, air carriers, and persons entering restricted areas of aerodromes. These requirements are now contained in the Interim Order for Civil Aviation Respecting Requirements Related to Vaccination Due to COVID-19 (CA-Vol.156,No.23(2789)). The first effective date of the document that makes the change is May 19, 2022. More information about the change, including any additional effective dates, is available &lt;a href="https://canadagazetteducanada.gc.ca/rp-pr/p1/2022/2022-06-04/html/notice-avis-eng.html#nb1" target="_blank"&gt;here&lt;/a&gt;.</t>
  </si>
  <si>
    <t>CA-BC-SBC2022,c22</t>
  </si>
  <si>
    <t>Labour Relations Code Amendment Act, 2022</t>
  </si>
  <si>
    <t>SBC2008,c40</t>
  </si>
  <si>
    <t>Carbon Tax Act</t>
  </si>
  <si>
    <t>CA-BC-SBC2022,c11</t>
  </si>
  <si>
    <t>Budget Measures Implementation Act, 2022</t>
  </si>
  <si>
    <t>A change to this document has been announced. The first effective date of the document that makes the change is November 27, 2018. More information about the change, including any additional effective dates, is available &lt;a href="https://www.leg.bc.ca/parliamentary-business/legislation-debates-proceedings/42nd-parliament/3rd-session/bills/third-reading/gov06-3" target="_blank"&gt;here&lt;/a&gt;.</t>
  </si>
  <si>
    <t>CA-BC-SBC2022,c16</t>
  </si>
  <si>
    <t>Transportation Amendment Act, 2022</t>
  </si>
  <si>
    <t>CA-BC-SBC2022,c15</t>
  </si>
  <si>
    <t>Municipal Affairs Statutes Amendment Act, 2022</t>
  </si>
  <si>
    <t>CA-BC-SBC2022,c14</t>
  </si>
  <si>
    <t>CA-BC-RSBC1996,c338</t>
  </si>
  <si>
    <t>Offence Act</t>
  </si>
  <si>
    <t>A change to this document has been announced. The first effective date of the document that makes the change is June 2, 2022. More information about the change, including any additional effective dates, is available &lt;a href="https://www.leg.bc.ca/parliamentary-business/legislation-debates-proceedings/42nd-parliament/3rd-session/bills/third-reading/gov17-3" target="_blank"&gt;here&lt;/a&gt;.</t>
  </si>
  <si>
    <t>CA-BC-SBC2018,c47</t>
  </si>
  <si>
    <t>Professional Governance Act</t>
  </si>
  <si>
    <t>A change to this document has been announced. The effect of this change is notably to (1) provide that rules concerning the provision of reserved practices by registered parties do not apply to persons exercising the rights of Indigenous people, including the right to maintain, control, protect or develop cultural heritage, expressions, and traditional knowledge, (2) revise the definition of "registrant" as it concerns the protection of public interest with respect to professional governance and conduct, (3) establish the liability of a registrant for their professional negligence in relation to a limited liability partnership, and (4) revise various terminology. The first effective date of the document that makes the change is June 2, 2022. More information about the change, including any additional effective dates, is available &lt;a href="https://www.leg.bc.ca/parliamentary-business/legislation-debates-proceedings/42nd-parliament/3rd-session/bills/third-reading/gov21-3" target="_blank"&gt;here&lt;/a&gt;.</t>
  </si>
  <si>
    <t>RRScP-1.1.Reg6</t>
  </si>
  <si>
    <t>Parks Regulations, 1991</t>
  </si>
  <si>
    <t>CA-SK-SR42/2022</t>
  </si>
  <si>
    <t>The Parks Amendment Regulations, 2022</t>
  </si>
  <si>
    <t>A change to this document has been announced. The first effective date of the document that makes the change is April 1, 2022. More information about the change, including any additional effective dates, is available &lt;a href="https://publications.saskatchewan.ca/api/v1/products/117999/formats/135626/download" target="_blank"&gt;here&lt;/a&gt;.</t>
  </si>
  <si>
    <t>CA-AB-AR66/2022</t>
  </si>
  <si>
    <t>Pressure Welders (Expiry Date Extension) Amendment Regulation</t>
  </si>
  <si>
    <t>CA-AB-AR79/2022</t>
  </si>
  <si>
    <t>Traffic Safety Act (Ministerial) Amendment Regulations Repeal Regulation</t>
  </si>
  <si>
    <t>CA-AB-AltaReg319/2002</t>
  </si>
  <si>
    <t>Off-Highway Vehicle Regulation</t>
  </si>
  <si>
    <t>AltaReg317/2002</t>
  </si>
  <si>
    <t>Drivers' Hours of Service Regulation</t>
  </si>
  <si>
    <t>CA-AB-AR73/2022</t>
  </si>
  <si>
    <t>Procedures (Traffic Safety Act) Amendment Regulation Repeal Regulation</t>
  </si>
  <si>
    <t>CA-BC-BA(2022-05-04)</t>
  </si>
  <si>
    <t>Bylaws of the Association of Professional Engineers and Geoscientists of B.C. 2022-05-04 Amendments</t>
  </si>
  <si>
    <t>CA-BC-BA(2022-03-24)</t>
  </si>
  <si>
    <t>Bylaws of the Association of Professional Engineers and Geoscientists of B.C. 2022-03-24 Amendments</t>
  </si>
  <si>
    <t>CA-BC-BA(2022-02-22)</t>
  </si>
  <si>
    <t>Bylaws of the Association of Professional Engineers and Geoscientists of B.C. 2022-02-22 Amendments</t>
  </si>
  <si>
    <t>CA-BC-BA(2021-12-15)</t>
  </si>
  <si>
    <t>Bylaws of the Association of Professional Engineers and Geoscientists of B.C. 2021-12-15 Amendments</t>
  </si>
  <si>
    <t>CA-Vol.156,No.22(2599)</t>
  </si>
  <si>
    <t>Ministerial Condition No. 21069</t>
  </si>
  <si>
    <t>CA-Vol.156,No.22(2656)</t>
  </si>
  <si>
    <t>Order Amending Schedule 1 to the Species at Risk Act [Peregrine Falcon and 16 other species]</t>
  </si>
  <si>
    <t>CA-Vol.156,No.22(2726)</t>
  </si>
  <si>
    <t>Order Amending Schedule 1 to the Species at Risk Act [Peary Caribou and 12 other species]</t>
  </si>
  <si>
    <t>CA-NL-NLR32/22</t>
  </si>
  <si>
    <t>CA-BC-Prop-2022-05-25</t>
  </si>
  <si>
    <t>Proposed amendments to Schedule 2, Non-Traumatic Hearing Loss</t>
  </si>
  <si>
    <t>CA-NB-NBReg2022-27</t>
  </si>
  <si>
    <t>General Regulation 2022-05-20 Amendments</t>
  </si>
  <si>
    <t>BC.Reg.180/90</t>
  </si>
  <si>
    <t>Park, Conservancy and Recreation Area Regulation</t>
  </si>
  <si>
    <t>CA-BC-BCReg123/2022</t>
  </si>
  <si>
    <t>Park, Conservancy and Recreation Area Regulation 2022-05-24 Amendments</t>
  </si>
  <si>
    <t>A change to this document has been announced. The effect of this change is to add 41 parks, conservancies and protected areas to and remove 16 parks, and conservancies from the list of areas in which the use of hunting weapons is permitted during an open season. The first effective date of the document that makes the change is July 1, 2022. More information about the change, including any additional effective dates, is available &lt;a href="https://www.bclaws.gov.bc.ca/civix/document/id/oic/oic_cur/0274_2022" target="_blank"&gt;here&lt;/a&gt;.</t>
  </si>
  <si>
    <t>CA-BC-BCReg119/2022</t>
  </si>
  <si>
    <t>Hunting Regulation; Limited Entry Hunting Regulation 2022-05-20 Amendments</t>
  </si>
  <si>
    <t>CA-SOR/2022-97</t>
  </si>
  <si>
    <t>Critical Habitat of the Cerulean Warbler (Setophaga cerulea) Order</t>
  </si>
  <si>
    <t>SOR/2006-124</t>
  </si>
  <si>
    <t>Pest Control Products Regulations</t>
  </si>
  <si>
    <t>CA-SOR/2022-99</t>
  </si>
  <si>
    <t>Regulations Amending the Pest Control Products Regulations (Ultraviolet Radiation-emitting Devices and Ozone-generating Devices)</t>
  </si>
  <si>
    <t>A change to this document has been announced. According to the government, the effect of this change is notably to (1) "prescribe UV and ozone-generating devices as pest control products in Schedule 1" ("Prescribed Devices") that require registration, with certain exceptions, (2) clarify that these regulations apply to "ultraviolet radiation-emitting devices" and "ozone-generating devices", as defined herein, (3) exempt Class II, III, and IV medical devices that are regulated by the &lt;a href="https://canlii.ca/t/80rf" target="_blank"&gt;Medical Devices Regulations&lt;/a&gt; from the application of these regulations, (4) require that UV and ozone-generating devices which are manufactured for export "be permitted on the basis that the manufacturer meets the labelling requirements for safe transport and certifies that the exported product meets the legal requirements in the importing country", (5) establish certification, design, and labelling conditions under which UV devices would not require registration, and (6) allow access to the UV component of authorized UV devices, "provided there are instructions related to safe handling and disposal procedures". The first effective date of the document that makes the change is June 8, 2022. More information about the change, including any additional effective dates, is available &lt;a href="https://canadagazetteducanada.gc.ca/rp-pr/p2/2022/2022-05-25/html/sor-dors99-eng.html" target="_blank"&gt;here&lt;/a&gt;.</t>
  </si>
  <si>
    <t>CA-SOR/2022-95</t>
  </si>
  <si>
    <t>CA-SOR/2022-98</t>
  </si>
  <si>
    <t>RSQ,cS-3.1.01</t>
  </si>
  <si>
    <t>Dam Safety Act</t>
  </si>
  <si>
    <t>A change to this document has been announced. The effect of this change is notably to:&lt;ul&gt;&lt;/ul&gt;
&lt;li&gt; "introduce [...] the general requirement for owners to maintain their dams in working order such that they are unlikely to compromise the safety of persons or property";
&lt;li&gt; revise the criteria for classification of dams as high-capacity or low-capacity and introduce criteria for the classification of dams as small dams; 
&lt;li&gt; provide a 90-day period for dam owners to inform the Minister of the completion of projects that require ministerial authorization;
&lt;li&gt; provide that ministerial authorizations are transferable if the transferee notifies the Minister; and
&lt;li&gt; introduce additional monetary penalties and revise fine amounts.
&lt;p&gt;The first effective date of the document that makes the change is May 12, 2022. More information about the change, including any additional effective dates, is available &lt;a href="https://canlii.ca/t/bg30" target="_blank"&gt;here&lt;/a&gt; beginning at page 78.&lt;/p&gt;</t>
  </si>
  <si>
    <t>RSQ,cR-13</t>
  </si>
  <si>
    <t>Watercourses Act</t>
  </si>
  <si>
    <t>A change to this document has been announced. The effect of the change is to increase various royalty rates for owners of hydraulic power in accordance with the method prescribed by law for the year 2022. More information about the change, including any additional effective dates, is available &lt;a href="http://www2.publicationsduquebec.gouv.qc.ca/dynamicSearch/telecharge.php?type=4&amp;file=2201.PDF" target="_blank"&gt;here&lt;/a&gt;.</t>
  </si>
  <si>
    <t>RSQ,cP-37</t>
  </si>
  <si>
    <t>Tree Protection Act</t>
  </si>
  <si>
    <t>A change to this document has been announced. The effect of this change is notably to "allow preventive pruning and felling of trees and shrubs that could cause an electrical outage". The first effective date of the document that makes the change is May 12, 2022. More information about the change, including any additional effective dates, is available &lt;a href="https://canlii.ca/t/bg30" target="_blank"&gt;here&lt;/a&gt; at page 61.</t>
  </si>
  <si>
    <t>RSQ,cP-9.3</t>
  </si>
  <si>
    <t>Pesticides Act</t>
  </si>
  <si>
    <t>A change to this document has been announced. The effect of this change is notably to (1) provide that a "pesticide" includes pest control products registered under the federal Pest Control Products Act (SC2002,c28) and seeds coated with pesticides, (2) provide that this document applies to pesticide waste and pesticide-contaminated waste and all activities relating to the manufacture, sale, and work relating to pesticides, (3) "establish rules for the possession of pesticides", (4) require permit holders to inform the Minister of the cessation of their activities within 30 days of the cessation, and (5) introduce penalties and revise fine amounts. The first effective date of the document that makes the change is May 12, 2022. More information about the change, including any additional effective dates, is available &lt;a href="https://canlii.ca/t/bg30" target="_blank"&gt;here&lt;/a&gt; at page 50.</t>
  </si>
  <si>
    <t>RSQ,cM-13.1</t>
  </si>
  <si>
    <t>Mining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</si>
  <si>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href="https://canlii.ca/t/bg30" target="_blank"&gt;here&lt;/a&gt;.</t>
  </si>
  <si>
    <t>RSQ,cE-12.01</t>
  </si>
  <si>
    <t>An Act respecting threatened or vulnerable species</t>
  </si>
  <si>
    <t>RSQ,cC-6.2</t>
  </si>
  <si>
    <t>Act to affirm the collective nature of water resources and to promote better governance of water and associated environments</t>
  </si>
  <si>
    <t>CA-NS-NSReg87/2022</t>
  </si>
  <si>
    <t>Pugwash Protected Water Area Regulations</t>
  </si>
  <si>
    <t>CA-NS-NSReg86/2022</t>
  </si>
  <si>
    <t>Pugwash Protected Water Area Designation</t>
  </si>
  <si>
    <t>CA-PE-RSPEI1988,cH-5</t>
  </si>
  <si>
    <t>CA-PE-SPEI2022,c59</t>
  </si>
  <si>
    <t>An Act to Amend the Highway Traffic Act (No.3)</t>
  </si>
  <si>
    <t>A change to this document has been announced. The first effective date of the document that makes the change is November 17, 2021. More information about the change, including any additional effective dates, is available &lt;a href="https://docs.assembly.pe.ca/download/dms?objectId=7a5f8437-0dae-4eed-9170-644d77f364a1&amp;fileName=bill-23.pdf" target="_blank"&gt;here&lt;/a&gt;.</t>
  </si>
  <si>
    <t>CA-PE-RSPEI1988,cY-2</t>
  </si>
  <si>
    <t>Youth Employment Act</t>
  </si>
  <si>
    <t>CA-PE-RSPEI1988,cW-4.1</t>
  </si>
  <si>
    <t>Wildlife Conservation Act</t>
  </si>
  <si>
    <t>CA-PE-RSPEI1988,cR-15</t>
  </si>
  <si>
    <t>Roads Act</t>
  </si>
  <si>
    <t>CA-PE-RSPEI1988,cR-12.1</t>
  </si>
  <si>
    <t>Renewable Energy Act</t>
  </si>
  <si>
    <t>RSPEI1988,cO-1.01</t>
  </si>
  <si>
    <t>A change to this document has been announced. The effect of this change is to set a date of January 1, 2020 for recent amendments that extend worker health protections to include psychological health. More information about the change is available &lt;a href="https://www.princeedwardisland.ca/sites/default/files/publications/royal_gazette/rg_issue_43-october_26_2019_complete.pdf" target="_blank"&gt;here&lt;/a&gt;.</t>
  </si>
  <si>
    <t>CA-PE-RSPEI1988,cF-14</t>
  </si>
  <si>
    <t>Forest Management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</si>
  <si>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href="https://docs.assembly.pe.ca/download/dms?objectId=8791f7a6-5112-40fd-aa7a-443dcdceefb0&amp;fileName=chapter-8.pdf" target="_blank"&gt;here&lt;/a&gt;.</t>
  </si>
  <si>
    <t>RSPEI1988,cE-9</t>
  </si>
  <si>
    <t>Environmental Protection Act</t>
  </si>
  <si>
    <t>RSPEI1988,cD-3</t>
  </si>
  <si>
    <t>Dangerous Goods (Transportation) Act</t>
  </si>
  <si>
    <t>CA-PE-RSPEI1998,cB-5.1</t>
  </si>
  <si>
    <t>Building Codes Act</t>
  </si>
  <si>
    <t>CA-PE-SPEI2022,c55</t>
  </si>
  <si>
    <t>An Act to Amend the Building Codes Act</t>
  </si>
  <si>
    <t>A change to this document has been announced. The effect of this change is notably to provide that an "architect" refers to a person authorized to practice architecture under the Architects Act. The first effective date of the document that makes the change is May 6, 2022. More information about the change, including any additional effective dates, is available &lt;a href="https://docs.assembly.pe.ca/download/dms?objectId=ddd9b1a9-9f09-498d-80dd-da4908351435&amp;fileName=Chap%2055%20Building%20Codes_ASSENT.pdf" target="_blank"&gt;here&lt;/a&gt;.</t>
  </si>
  <si>
    <t>CA-PE-RSPEI1988,cC-9.1</t>
  </si>
  <si>
    <t>Climate Leadership Act</t>
  </si>
  <si>
    <t>CA-PE-SPEI2022,c57</t>
  </si>
  <si>
    <t>An Act to Amend the Climate Leadership Act</t>
  </si>
  <si>
    <t>A change to this document has been announced. The effect of this change is notably to update the levy rates payable for various classes of fossil fuels. The first effective date of the document that makes the change is May 6, 2022. More information about the change, including any additional effective dates, is available &lt;a href="https://docs.assembly.pe.ca/download/dms?objectId=b0cefa71-c18c-4728-b3df-3a9dfcea79b6&amp;fileName=Chap%2057%20Climate%20Leadership_ASSENT.pdf" target="_blank"&gt;here&lt;/a&gt;.</t>
  </si>
  <si>
    <t>CA-BC-BCReg116/2022</t>
  </si>
  <si>
    <t>Occupational Health and Safety Regulation 2022-05-12 Amendments</t>
  </si>
  <si>
    <t>CA-NS-NSReg93/2022</t>
  </si>
  <si>
    <t>CA-NS-NSReg92/2022</t>
  </si>
  <si>
    <t>CA-QC-IN(A)2022-02-01</t>
  </si>
  <si>
    <t>Information note (Acts) 2022-02-01</t>
  </si>
  <si>
    <t>CQLRcP-9.002</t>
  </si>
  <si>
    <t>Cultural Heritage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</si>
  <si>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href="http://www2.publicationsduquebec.gouv.qc.ca/dynamicSearch/telecharge.php?type=5&amp;file=2021C31A.PDF" target="_blank"&gt;here&lt;/a&gt;.</t>
  </si>
  <si>
    <t>CA-Vol.156,No.20(2281)</t>
  </si>
  <si>
    <t>Interim Order Respecting Certain Requirements for Civil Aviation Due to COVID-19, No. 61</t>
  </si>
  <si>
    <t>This document is being replaced by the Interim Order Respecting Certain Requirements for Civil Aviation Due to COVID-19, No. 62 (CA-Vol.156,No.21(2457)). The first effective date of the document that makes the change is May 6, 2022. More information about the change, including any additional effective dates, is available &lt;a href="https://canadagazetteducanada.gc.ca/rp-pr/p1/2022/2022-05-21/html/notice-avis-eng.html#n12" target="_blank"&gt;here&lt;/a&gt;.</t>
  </si>
  <si>
    <t>CA-ON-GAECA</t>
  </si>
  <si>
    <t>Guide to Applying for an Environmental Compliance Approval</t>
  </si>
  <si>
    <t>CA-ON-GAECA(2022-02-08)</t>
  </si>
  <si>
    <t>Guide to Applying for an Environmental Compliance Approval 2022-02-08 Amendments</t>
  </si>
  <si>
    <t>A change to this document has been announced. The effect of this change is to require residents potentially impacted by a processing site proposal for an Environmental Compliance Approval application with Operational Flexibility to submit their comments by e-mail. The first effective date of the document that makes the change is February 8, 2022. More information about the change, including any additional effective dates, is available &lt;a href="https://www.ontario.ca/document/guide-applying-environmental-compliance-approval/additional-information-support-ecas-limited-operational-flexibility" target="_blank"&gt;here&lt;/a&gt;.</t>
  </si>
  <si>
    <t>CA-QC-MO2022-035</t>
  </si>
  <si>
    <t>CA-QC-MO2022-030</t>
  </si>
  <si>
    <t>This document is being repealed by the Ordering of measures to protect the health of the population amid the COVID-19 pandemic situation (CA-QC-MO2022-033). The first effective date of the document that makes the change is May 14, 2022. More information about the change, including any additional effective dates, is available &lt;a href="http://www2.publicationsduquebec.gouv.qc.ca/dynamicSearch/telecharge.php?type=1&amp;file=105723.pdf" target="_blank"&gt;here&lt;/a&gt;.</t>
  </si>
  <si>
    <t>RRQ,cB-1.1,r2</t>
  </si>
  <si>
    <t>Construction Code</t>
  </si>
  <si>
    <t>CA-QC-OC737-2022</t>
  </si>
  <si>
    <t>Regulation to amend the Construction Code</t>
  </si>
  <si>
    <t>A change to this document has been announced. According to the Quebec Government, the changes replace "Chapter I, Building, of the Construction Code (chapter B-1.1, r. 2) in order to incorporate by reference the National Building Code of Canada 2015, with amendments to reflect the specific needs of Québec". The first effective date of the document that makes the change is January 8, 2022. More information about the change, including any additional effective dates, is available &lt;a href="http://www2.publicationsduquebec.gouv.qc.ca/dynamicSearch/telecharge.php?type=1&amp;file=105364.pdf" target="_blank"&gt;here&lt;/a&gt;.</t>
  </si>
  <si>
    <t>CA-QC-OC770-2022</t>
  </si>
  <si>
    <t>Regulation to amend the Regulation respecting compensation for municipal services provided to recover and reclaim residual materials</t>
  </si>
  <si>
    <t>CA-QC-SQ2022,c6</t>
  </si>
  <si>
    <t>An Act to strengthen the fight against maltreatment of seniors and other persons of full age in vulnerable situations as well as the monitoring of the quality of health services and social services</t>
  </si>
  <si>
    <t>RSO1990,cH.8</t>
  </si>
  <si>
    <t>CA-ON-Vol.155-20(3111)</t>
  </si>
  <si>
    <t>Proclamation of the Towing and Storage Safety and Enforcement Act, 2021, Sched. 3, s. 1-15, 39, 46-59, 61-64, 67 (1), (5)</t>
  </si>
  <si>
    <t>Provisions of an Act amending this document are coming into force July 1, 2023. More information about the change, including any additional effective dates, is available &lt;a href="https://www.ontario.ca/files/2022-05/ontariogazette_155-20.pdf" target="_blank"&gt;here&lt;/a&gt; and &lt;a href="https://www.ola.org/sites/default/files/node-files/bill/document/pdf/2021/2021-06/b282ra_e.pdf" target="_blank"&gt;here&lt;/a&gt;.</t>
  </si>
  <si>
    <t>CA-ON-SO2021,c26,Sch3</t>
  </si>
  <si>
    <t>Towing and Storage Safety and Enforcement Act, 2021</t>
  </si>
  <si>
    <t>Provisions of this Act are coming into force on July 1, 2022 and July 1, 2023. The effect of this change is notably to (1) require tow service providers/operators and drivers, as well as vehicle storage operators to obtain certifications to conduct their respective activities, (2) prohibit tow service providers/operators from hiring tow truck drivers unless the drivers have obtained the required tow driver's certificate, and (3) require tow service providers/operators to ensure that every tow truck it uses meets the prescribed requirements, has the prescribed equipment, and is inspected and maintained in accordance with applicable regulations. More information about the change, including any additional effective dates, is available &lt;a href="https://www.ontario.ca/files/2022-05/ontariogazette_155-20.pdf" target="_blank"&gt;here&lt;/a&gt; and &lt;a href="https://canlii.ca/t/b9ks" target="_blank"&gt;here&lt;/a&gt;.</t>
  </si>
  <si>
    <t>CA-ON-SO2022,c11</t>
  </si>
  <si>
    <t>Pandemic and Emergency Preparedness Act, 2022</t>
  </si>
  <si>
    <t>CA-ON-Vol.155-20(3112)</t>
  </si>
  <si>
    <t>Proclamation of the Pandemic and Emergency Preparedness Act, 2022, Sched. 1, s. 1 (2), 5, 6, 9</t>
  </si>
  <si>
    <t>CA-Vol.156,No.20(2365)</t>
  </si>
  <si>
    <t>Prohibition of Certain Toxic Substances Regulations, 2022</t>
  </si>
  <si>
    <t>CA-Vol.156,No.20(2349)</t>
  </si>
  <si>
    <t>Order Amending Schedule 3 to the Canadian Environmental Protection Act, 1999</t>
  </si>
  <si>
    <t>CA-PE-EC2022-376</t>
  </si>
  <si>
    <t>CA-PE-EC2022-377</t>
  </si>
  <si>
    <t>CA-PE-EC2022-378</t>
  </si>
  <si>
    <t>CA-PE-EC2022-380</t>
  </si>
  <si>
    <t>CA-PE-EC2022-379</t>
  </si>
  <si>
    <t>CA-PE-EC2022-381</t>
  </si>
  <si>
    <t>CA-Vol.156,No.19(2015)</t>
  </si>
  <si>
    <t>Interim Order Respecting Certain Requirements for Civil Aviation Due to COVID-19, No. 60</t>
  </si>
  <si>
    <t>This document is being replaced by the Interim Order Respecting Certain Requirements for Civil Aviation Due to COVID-19, No. 61 (CA-Vol.156,No.20(2281)). The first effective date of the document that makes the change is April 24, 2022. More information about the change, including any additional effective dates, is available &lt;a href="https://canadagazetteducanada.gc.ca/rp-pr/p1/2022/2022-05-14/html/notice-avis-eng.html#na5" target="_blank"&gt;here&lt;/a&gt;.</t>
  </si>
  <si>
    <t>RSNL1990,cM-20</t>
  </si>
  <si>
    <t>Motorized Snow Vehicles and All-Terrain Vehicles Act</t>
  </si>
  <si>
    <t>CA-NL-NLR29/22</t>
  </si>
  <si>
    <t>Proclamation of the Off-Road Vehicles Act, except s. 5(3), 5(4)(b), 7(3), 12(2)(a), 22(1)(b), 22(4), 23(b), 24(a)</t>
  </si>
  <si>
    <t>This document is being replaced by the Off-Road Vehicles Act (CA-NL-SNLc.O-5.1), effective May 19, 2022. More information about the change, including any additional effective dates, is available &lt;a href="https://www.gov.nl.ca/dgsnl/files/NLG20220510_EXTRA.pdf" target="_blank"&gt;here&lt;/a&gt; and &lt;a href="https://www.assembly.nl.ca/legislation/sr/annualstatutes/2021/O-5.1.chp.htm" target="_blank"&gt;here.</t>
  </si>
  <si>
    <t>NLR.59/03</t>
  </si>
  <si>
    <t>Waste Management Regulations, 2003</t>
  </si>
  <si>
    <t>Provisions of an Act amending this document are coming into force May 19, 2022. The effect of this change is to clarify that for the purpose of these regulations, the definition of "vehicle" does not include vehicles to which the Off-Road Vehicles Act (CA-NL-SNL,cO-5.1) applies. More information about the change, including any additional effective dates, is available &lt;a href="https://www.gov.nl.ca/dgsnl/files/NLG20220510_EXTRA.pdf" target="_blank"&gt;here&lt;/a&gt; and &lt;a href="https://www.assembly.nl.ca/legislation/sr/annualstatutes/2021/O-5.1.chp.htm" target="_blank"&gt;here.</t>
  </si>
  <si>
    <t>NLR.91/97</t>
  </si>
  <si>
    <t>Provincial Parks Regulations</t>
  </si>
  <si>
    <t>Provisions of an Act amending this document are coming into force May 19, 2022. The effect of this change is notably to revise the definitions of "managed trail" and "motorized snow vehicle" to have the same meaning as ascribed in the Off-Road Vehicles Act (CA-NL-SNL,cO-5.1). More information about the change, including any additional effective dates, is available &lt;a href="https://www.gov.nl.ca/dgsnl/files/NLG20220510_EXTRA.pdf" target="_blank"&gt;here&lt;/a&gt; and &lt;a href="https://www.assembly.nl.ca/legislation/sr/annualstatutes/2021/O-5.1.chp.htm" target="_blank"&gt;here.</t>
  </si>
  <si>
    <t>CA-NL-NLR62/09</t>
  </si>
  <si>
    <t>Main River Special Management Area Regulations</t>
  </si>
  <si>
    <t>Provisions of an Act amending this document are coming into force May 19, 2022. The effect of this change is notably to clarify that a person may not operate an all-terrain vehicle (excluding a motorized snow vehicle) as defined in the Off-Road Vehicles Act (CA-NL-SNL,cO-5.1) in the Main River Special Management Area, unless permitted by the Minister. More information about the change, including any additional effective dates, is available &lt;a href="https://www.gov.nl.ca/dgsnl/files/NLG20220510_EXTRA.pdf" target="_blank"&gt;here&lt;/a&gt; and &lt;a href="https://www.assembly.nl.ca/legislation/sr/annualstatutes/2021/O-5.1.chp.htm" target="_blank"&gt;here.</t>
  </si>
  <si>
    <t>CA-NL-CNLR1007/96</t>
  </si>
  <si>
    <t>Licensing and Equipment Regulations</t>
  </si>
  <si>
    <t>NLR.54/03</t>
  </si>
  <si>
    <t>Environmental Assessment Regulations, 2003</t>
  </si>
  <si>
    <t>Provisions of an Act amending this document are coming into force May 19, 2022. The effect of this change is notably to clarify that a trail designated or approved for use under the Off-Road Vehicles Act (CA-NL-SNL,cO-5.1) is not required to be registered. More information about the change, including any additional effective dates, is available &lt;a href="https://www.gov.nl.ca/dgsnl/files/NLG20220510_EXTRA.pdf" target="_blank"&gt;here&lt;/a&gt; and &lt;a href="https://www.assembly.nl.ca/legislation/sr/annualstatutes/2021/O-5.1.chp.htm" target="_blank"&gt;here.</t>
  </si>
  <si>
    <t>CA-NL-SNL,cO-5.1</t>
  </si>
  <si>
    <t>Off-Road Vehicles Act</t>
  </si>
  <si>
    <t>Provisions of this Act are coming into force May 19, 2022. It concerns the operation, ownership, and registration of off-road vehicles in Newfoundland and Labrador and contains provisions concerning applications for registration of an off-road vehicle, the visibility of plates or decals on off-road vehicles, regulations and prohibitions when operating an off-road vehicle, mandating the use of helmets, age prohibitions for operating off-road vehicles, procedures for reporting accidents, and related offences and penalties.More information about the change, including any additional effective dates, is available &lt;a href="https://www.gov.nl.ca/dgsnl/files/NLG20220510_EXTRA.pdf" target="_blank"&gt;here&lt;/a&gt; and &lt;a href="https://www.assembly.nl.ca/legislation/sr/annualstatutes/2021/O-5.1.chp.htm" target="_blank"&gt;here.</t>
  </si>
  <si>
    <t>MSSC-AB</t>
  </si>
  <si>
    <t>Master Schedule of Standards and Conditions</t>
  </si>
  <si>
    <t>CA-AB-AERbulletin2022-13</t>
  </si>
  <si>
    <t>Bulletin 2022-13: Update to Master Schedule of Standards and Conditions (MSSC)</t>
  </si>
  <si>
    <t>A change to this document has been announced. According to the Alberta Energy Regulatory (AER), the effect of this change is notably to (1) align this document with the Alberta Grizzly Bear Recovery Plan and (2) require draft applications for land dispositions that are submitted after May 5, 2022 to identify updated variances (rationale and mitigation) for standards identified in the application. The first effective date of the document that makes the change is May 5, 2022. More information about the change, including any additional effective dates, is available &lt;a href="https://static.aer.ca/prd/documents/bulletins/Bulletin-202213.pdf" target="_blank"&gt;here&lt;/a&gt; and &lt;a href="https://static.aer.ca/prd/documents/onestop/whats-new-OneStop-May-2022-release.pdf" target="_blank"&gt;here&lt;/a&gt;.</t>
  </si>
  <si>
    <t>CNLR.1163/96</t>
  </si>
  <si>
    <t>Motorized Snow Vehicles and All-Terrain Vehicles Regulations</t>
  </si>
  <si>
    <t>CA-NL-NLR30/22</t>
  </si>
  <si>
    <t>Off-Road Vehicles Regulations</t>
  </si>
  <si>
    <t>This document is being replaced by Off-Road Vehicles Regulations (CA-NL-NLR30/22), effective May 19, 2022. More information about the change, including any additional effective dates, is available &lt;a href="https://www.assembly.nl.ca/legislation/sr/annualstatutes/2021/O-5.1.chp.htm" target="_blank"&gt;here&lt;/a&gt;.</t>
  </si>
  <si>
    <t>CA-BC-Prop-2022-05-09(2)</t>
  </si>
  <si>
    <t>Consultation on changes to pesticide legislation</t>
  </si>
  <si>
    <t>CA-BC-Prop-2022-05-09(1)</t>
  </si>
  <si>
    <t>2022 June Public Hearing on proposed amendments to the Occupational Health and Safety Regulation</t>
  </si>
  <si>
    <t>CA-NS-SNS2022,c27</t>
  </si>
  <si>
    <t>CA-Vol.156,No.19(2011)</t>
  </si>
  <si>
    <t>Order 2022-87-03-02 Amending the Non-domestic Substances List</t>
  </si>
  <si>
    <t>CA-NS-SNS2022,c4</t>
  </si>
  <si>
    <t>Financial Measures (2022) Act</t>
  </si>
  <si>
    <t>SOR/2010-120</t>
  </si>
  <si>
    <t>Maritime Occupational Health and Safety Regulations</t>
  </si>
  <si>
    <t>SOR/87-184</t>
  </si>
  <si>
    <t>On Board Trains Occupational Health and Safety Regulations</t>
  </si>
  <si>
    <t>SOR/86-304</t>
  </si>
  <si>
    <t>Canada Occupational Health and Safety Regulations</t>
  </si>
  <si>
    <t>A change to this document has been announced. This change is part of a suite of amendments to occupational health &amp; safety regulations that notably (1) "allow CSA Group certified [respiratory protective] equipment to be provided as an alternative to NIOSH certified equipement in federally regulated workplaces, where there is a risk of injury or disease due to exposure to an airborne hazardous substance and the equipment does not provide air" and (2) incorporate by reference certain respiratory protection provisions and naming conventions from relevant CSA Standards. A further change to this document aligns the percentage level in an oxygen-deficient atmosphere throughout the document. The first effective date of the document that makes the change is May 2, 2022. More information about the change, including any additional effective dates, is available &lt;a href="https://canadagazetteducanada.gc.ca/rp-pr/p2/2022/2022-05-11/html/sor-dors94-eng.html" target="_blank"&gt;here&lt;/a&gt;.</t>
  </si>
  <si>
    <t>SC1982</t>
  </si>
  <si>
    <t>The Constitution Act</t>
  </si>
  <si>
    <t>CA-SI/2022-25</t>
  </si>
  <si>
    <t>Constitution Amendment, 2022 (Saskatchewan Act)</t>
  </si>
  <si>
    <t>SOR/2011-318</t>
  </si>
  <si>
    <t>Canadian Aviation Security Regulations, 2012</t>
  </si>
  <si>
    <t>CA-SOR/2022-92</t>
  </si>
  <si>
    <t>Regulations Amending the Canadian Aviation Security Regulations, 2012 (Various Amendments)</t>
  </si>
  <si>
    <t>A change to this document has been announced. The first effective date of the document that makes the change is May 11, 2022. More information about the change, including any additional effective dates, is available &lt;a href="https://canadagazetteducanada.gc.ca/rp-pr/p2/2022/2022-05-11/html/sor-dors92-eng.html" target="_blank"&gt;here&lt;/a&gt;.</t>
  </si>
  <si>
    <t>CA-SOR/2002-180</t>
  </si>
  <si>
    <t>CATSA Aerodrome Designation Regulations</t>
  </si>
  <si>
    <t>CA-SOR/2022-93</t>
  </si>
  <si>
    <t>Regulations Amending the CATSA Aerodrome Designation Regulations</t>
  </si>
  <si>
    <t>CA-SOR/2022-86</t>
  </si>
  <si>
    <t>Order 2022-112-03-01 Amending the Domestic Substances List</t>
  </si>
  <si>
    <t>CA-SOR/2022-85</t>
  </si>
  <si>
    <t>Order 2022-87-03-01 Amending the Domestic Substances List</t>
  </si>
  <si>
    <t>CA-SOR/2022-91</t>
  </si>
  <si>
    <t>SOR/98-199</t>
  </si>
  <si>
    <t>Firearms Licences Regulations</t>
  </si>
  <si>
    <t>A change to this document has been announced. The first effective date of the document that makes the change is May 18, 2022. More information about the change, including any additional effective dates, is available &lt;a href="https://canadagazetteducanada.gc.ca/rp-pr/p2/2022/2022-05-11/html/sor-dors91-eng.html" target="_blank"&gt;here&lt;/a&gt;.</t>
  </si>
  <si>
    <t>SC1995,c39</t>
  </si>
  <si>
    <t>Firearms Act</t>
  </si>
  <si>
    <t>CA-SI/2022-24</t>
  </si>
  <si>
    <t>Order Fixing May 18, 2022 as the Day on Which Certain Sections and Subsections of that Act Come into Force</t>
  </si>
  <si>
    <t>Provisions of an Act amending this document are coming into force May 18, 2022. More information about the change, including any additional effective dates, is available &lt;a href="https://canadagazetteducanada.gc.ca/rp-pr/p2/2022/2022-05-11/html/si-tr24-eng.html" target="_blank"&gt;here&lt;/a&gt; and &lt;a href="https://www.parl.ca/DocumentViewer/en/42-1/bill/C-71/royal-assent" target="_blank"&gt;here&lt;/a&gt;.</t>
  </si>
  <si>
    <t>CA-SOR/2022-84</t>
  </si>
  <si>
    <t>CA-SOR/2022-89</t>
  </si>
  <si>
    <t>Regulations Amending the Regulations Designating Regulatory Provisions for Purposes of Enforcement (Canadian Environmental Protection Act, 1999)</t>
  </si>
  <si>
    <t>CA-SOR/2022-90</t>
  </si>
  <si>
    <t>CA-SOR/2022-87</t>
  </si>
  <si>
    <t>CA-YT-Prop-2022-05-03</t>
  </si>
  <si>
    <t>Modernizing Yukon park regulations</t>
  </si>
  <si>
    <t>CA-AB-Bill22(30-3)</t>
  </si>
  <si>
    <t>Bill 22 - Electricity Statutes (Modernizing Alberta’s Electricity Grid) Amendment Act, 2022</t>
  </si>
  <si>
    <t>CA-Vol.156,No.19(2081)</t>
  </si>
  <si>
    <t>Biocides Regulations</t>
  </si>
  <si>
    <t>CA-NS-SNS2015,c32</t>
  </si>
  <si>
    <t>Marine Renewable-energy Act</t>
  </si>
  <si>
    <t>CA-NS-SNS2022,c19</t>
  </si>
  <si>
    <t>An Act to Amend Chapter 32 of the Acts of 2015, the Marine Renewable-energy Act</t>
  </si>
  <si>
    <t>A change to this document has been announced. The effect of this change notably subjects the construction, installation, and operation of anchors within an area of marine renewable-energy priority to the same permitting requirements as cables and other equipment and structures. The first effective date of the document that makes the change is April 22, 2022. More information about the change, including any additional effective dates, is available &lt;a href="https://nslegislature.ca/sites/default/files/legc/PDFs/annual%20statutes/2022%20Spring/c019.pdf" target="_blank"&gt;here&lt;/a&gt;.</t>
  </si>
  <si>
    <t>RSNS1989,c504</t>
  </si>
  <si>
    <t>CA-NS-SNS2022,c30</t>
  </si>
  <si>
    <t>An Act to Amend Chapter 504 of the Revised Statutes, 1989, the Wildlife Act</t>
  </si>
  <si>
    <t>RSNS1989,c292</t>
  </si>
  <si>
    <t>Motor Carrier Act</t>
  </si>
  <si>
    <t>CA-NS-SNS2022,c20</t>
  </si>
  <si>
    <t>An Act to Amend Chapter 292 of the Revised Statutes, 1989, the Motor Carrier Act</t>
  </si>
  <si>
    <t>SNS2010,c41</t>
  </si>
  <si>
    <t>Personal Health Information Act</t>
  </si>
  <si>
    <t>CA-NS-SNS2022,c22</t>
  </si>
  <si>
    <t>An Act to Amend Chapter 41 of the Acts of 2010, the Personal Health Information Act</t>
  </si>
  <si>
    <t>A change to this document has been announced. The first effective date of the document that makes the change is April 22, 2022. More information about the change, including any additional effective dates, is available &lt;a href="https://nslegislature.ca/sites/default/files/legc/PDFs/annual%20statutes/2022%20Spring/c022.pdf" target="_blank"&gt;here&lt;/a&gt;.</t>
  </si>
  <si>
    <t>RSNS1989,c293</t>
  </si>
  <si>
    <t>CA-NS-SNS2022,c21</t>
  </si>
  <si>
    <t>An Act to Amend Chapter 293 of the Revised Statutes, 1989, the Motor Vehicle Act</t>
  </si>
  <si>
    <t>A change to this document has been announced. The first effective date of the document that makes the change is April 22, 2022. More information about the change, including any additional effective dates, is available &lt;a href="https://nslegislature.ca/sites/default/files/legc/PDFs/annual%20statutes/2022%20Spring/c021.pdf" target="_blank"&gt;here&lt;/a&gt;.</t>
  </si>
  <si>
    <t>CA-NS-SNS2022,c13</t>
  </si>
  <si>
    <t>An Act to Amend Chapter 39 of the Acts of 2008, the Halifax Regional Municipality Charter, Respecting Housing</t>
  </si>
  <si>
    <t>CA-NS-SNS2022,c12</t>
  </si>
  <si>
    <t>An Act to Amend Chapter 25 of the Acts of 2004, the Electricity Act</t>
  </si>
  <si>
    <t>SC2001,c6</t>
  </si>
  <si>
    <t>Marine Liability Act</t>
  </si>
  <si>
    <t>CA-Vol.156,No.19(2062)</t>
  </si>
  <si>
    <t>Ship-source Oil Pollution Fund</t>
  </si>
  <si>
    <t>CA-Vol.156,No.17(1915)</t>
  </si>
  <si>
    <t>Interim Order Respecting Certain Requirements for Civil Aviation Due to COVID-19, No. 59</t>
  </si>
  <si>
    <t>This document is being replaced by the Interim Order Respecting Certain Requirements for Civil Aviation Due to COVID-19, No. 60 (CA-Vol.156,No.19(2015)). The first effective date of the document that makes the change is April 19, 2022. More information about the change, including any additional effective dates, is available &lt;a href="https://canadagazetteducanada.gc.ca/rp-pr/p1/2022/2022-05-07/html/notice-avis-eng.html#na5" target="_blank"&gt;here&lt;/a&gt;.</t>
  </si>
  <si>
    <t>RRScP-37.1Reg13</t>
  </si>
  <si>
    <t>Plumbing Regulations</t>
  </si>
  <si>
    <t>CA-SK-SR31/2022</t>
  </si>
  <si>
    <t>The Plumbing Repeal Regulations</t>
  </si>
  <si>
    <t>This document is being repealed. The first effective date of the document that makes the change is April 28, 2022. More information about the change, including any additional effective dates, is available &lt;a href="https://publications.saskatchewan.ca/api/v1/products/117820/formats/135365/download" target="_blank"&gt;here&lt;/a&gt;.</t>
  </si>
  <si>
    <t>CA-ON-OReg144/20</t>
  </si>
  <si>
    <t>Exemption for Temporary Health and Residential Facilities</t>
  </si>
  <si>
    <t>CA-ON-OReg437/22</t>
  </si>
  <si>
    <t>Amending O. Reg. 144/20 (Exemption for Temporary Health and Residential Facilities)</t>
  </si>
  <si>
    <t>A change to this document has been announced. The first effective date of the document that makes the change is April 27, 2022, and the document will be repealed effective March 31, 2023. More information about the change, including any additional effective dates, is available &lt;a href="https://www.ontario.ca/laws/regulation/r22437" target="_blank"&gt;here&lt;/a&gt;.</t>
  </si>
  <si>
    <t>O.Reg.332/12</t>
  </si>
  <si>
    <t>Building Code, 2012</t>
  </si>
  <si>
    <t>CA-ON-OReg451/22</t>
  </si>
  <si>
    <t>Amending O. Reg. 332/12 (Building Code)</t>
  </si>
  <si>
    <t>A change to this document has been announced. The effect of this change is notably to align this Regulation with the new 2020 National Building Code (CA-NRCC-NBC-2020). Updated provisions include rules for encapsulated mass timber construction for up to 12-storey buildings, earthquake and structural design, fire safety and fire protection systems, and occupancy permits for buildings 65 or more storeys tall. The first effective date of the document that makes the change is April 29, 2022. More information about the change, including any additional effective dates, is available &lt;a href="https://www.ontario.ca/laws/regulation/r22451" target="_blank"&gt;here&lt;/a&gt; and &lt;a href="https://ero.ontario.ca/notice/019-4974" target="_blank"&gt;here&lt;/a&gt;.</t>
  </si>
  <si>
    <t>SO1994,c25</t>
  </si>
  <si>
    <t>Crown Forest Sustainability Act, 1994</t>
  </si>
  <si>
    <t>CA-ON-Vol.155-18(2110)</t>
  </si>
  <si>
    <t>Proclamation of the Supporting People and Businesses Act, 2021, Sched. 6, s.1-6</t>
  </si>
  <si>
    <t>Provisions of an Act amending this document are coming into force on April 19, 2022. The effect of this change is notably to introduce provisions governing the harvesting of forest resources in a Crown forest for personal use in prescribed circumstances or under a provincial authorization. More information about the change, including any additional effective dates, is available &lt;a href="https://www.ontario.ca/files/2022-04/ontariogazette_155-18.pdf" target="_blank"&gt;here&lt;/a&gt;.</t>
  </si>
  <si>
    <t>CA-ON-OReg877/21</t>
  </si>
  <si>
    <t>General</t>
  </si>
  <si>
    <t>CA-ON-OReg459/22</t>
  </si>
  <si>
    <t>Amending O. Reg. 877/21 (General)</t>
  </si>
  <si>
    <t>RSO1990,cC.27</t>
  </si>
  <si>
    <t>Conservation Authorities Act</t>
  </si>
  <si>
    <t>CA-ON-Vol.155-18(2114)(1)</t>
  </si>
  <si>
    <t>Proclamation of the More Homes, More Choice Act, 2019, Sched. 2, s. 6, 7, 8(1)</t>
  </si>
  <si>
    <t>RSO1990,cF.31</t>
  </si>
  <si>
    <t>CA-ON-Vol.155-18(2112)</t>
  </si>
  <si>
    <t>Proclamation of the Build Ontario Act (Budget Measures), 2021, Sched. 12, s. 2</t>
  </si>
  <si>
    <t>Provisions of an Act amending this document are coming into force on April 29, 2022. More information about the change, including any additional effective dates, is available &lt;a href="https://www.ontario.ca/files/2022-04/ontariogazette_155-18.pdf" target="_blank"&gt;here&lt;/a&gt;.</t>
  </si>
  <si>
    <t>CA-ON-Vol.155-18(2111)(2)</t>
  </si>
  <si>
    <t>RSO1990,cO.1</t>
  </si>
  <si>
    <t>CA-ON-Vol.155-18(2111)(1)</t>
  </si>
  <si>
    <t>Proclamation of the Supporting People and Businesses Act, 2021, Sched. 15, s. 1, 5, 6, 8, 10</t>
  </si>
  <si>
    <t>Provisions of an Act amending this document are coming into force on July 1, 2022. The effect of this change is to introduce a new definition of the term “engineer”, as it applies in various regulations, to mean "a person who is licensed as a professional engineer or who holds a limited licence under the Professional Engineers Act". More information about the change, including any additional effective dates, is available &lt;a href="https://www.ontario.ca/files/2022-04/ontariogazette_155-18.pdf" target="_blank"&gt;here&lt;/a&gt;.</t>
  </si>
  <si>
    <t>CA-ON-Vol.155-18(2114)(2)</t>
  </si>
  <si>
    <t>Proclamation of the Moving Ontarians More Safely Act, 2021, Sched. 1, s. 14, 20, 21</t>
  </si>
  <si>
    <t>CA-BC-Prop-2022-04-22</t>
  </si>
  <si>
    <t>CleanBC Plastics Action Plan</t>
  </si>
  <si>
    <t>CA-QC-Vol.154,No.18A(1241A)</t>
  </si>
  <si>
    <t>Amendment of the date of the end of the annual thaw period for zones 1, 2 and 3 for 2022</t>
  </si>
  <si>
    <t>CA-AB-SA2022,c5</t>
  </si>
  <si>
    <t>Municipal Government (Face Mask and Proof of COVID-19 Vaccination Bylaws) Amendment Act, 2022</t>
  </si>
  <si>
    <t>CA-AB-SA2006,cF-28.1</t>
  </si>
  <si>
    <t>Fuel Tax Act</t>
  </si>
  <si>
    <t>CA-AB-SA2022,c4</t>
  </si>
  <si>
    <t>Financial Statutes Amendment Act, 2022</t>
  </si>
  <si>
    <t>A change to this document has been announced. The first effective date of the document that makes the change is January 1, 2016. More information about the change, including any additional effective dates, is available &lt;a href="https://www.qp.alberta.ca/Documents/AnnualVolumes/2022/ch04_2022.pdf" target="_blank"&gt;here&lt;/a&gt;.</t>
  </si>
  <si>
    <t>CA-AB-SA2022,c6</t>
  </si>
  <si>
    <t>Traffic Safety Amendment Act, 2022</t>
  </si>
  <si>
    <t>CA-PE-Prop-2022-04-26</t>
  </si>
  <si>
    <t>Climate Adaptation Plan</t>
  </si>
  <si>
    <t>CA-Vol.156,No.18(1981)</t>
  </si>
  <si>
    <t>Interim Order for the Protection of North Atlantic Right Whales (Eubalaena glacialis) in the Gulf of St. Lawrence, 2022</t>
  </si>
  <si>
    <t>NWTReg25-2003</t>
  </si>
  <si>
    <t>Recreation Parks and Heritage Parks Regulations</t>
  </si>
  <si>
    <t>CA-NT-R-033-2022</t>
  </si>
  <si>
    <t>Recreation Parks and Heritage Parks Regulations, amendment</t>
  </si>
  <si>
    <t>A change to this document has been announced. The effect of the changes is notably to (1) change the title of these regulations for the "Recreation Parks and Heritage Parks Regulations"; and (2) consider natural environment parks as recreation parks. The first effective date of the document that makes the change is August 4, 2020. More information about the change, including any additional effective dates, is available &lt;a href="https://www.justice.gov.nt.ca/en/files/northwest-territories-gazette/2020/08_2.pdf" target="_blank"&gt;here&lt;/a&gt;.</t>
  </si>
  <si>
    <t>CA-ON-ERO-019-5381</t>
  </si>
  <si>
    <t>Accelerating Growth in Hydrogen Energy Through Electricity Rate Options</t>
  </si>
  <si>
    <t>OReg199/07</t>
  </si>
  <si>
    <t>Commercial Motor Vehicle Inspections</t>
  </si>
  <si>
    <t>CA-ON-OReg415/22</t>
  </si>
  <si>
    <t>Amending O. Reg. 199/07 (Commercial Motor Vehicle Inspections)</t>
  </si>
  <si>
    <t>A change to this document has been announced. The effect of this change is notably to provide that tow trucks are commercial motor vehicles subject to required inspections as prescribed in this Regulation. The first effective date of the document that makes the change is January 1, 2023. More information about the change, including any additional effective dates, is available &lt;a href="https://www.ontario.ca/laws/regulation/r22415" target="_blank"&gt;here&lt;/a&gt;.</t>
  </si>
  <si>
    <t>Notice-Fuel-Distributor's-Statement</t>
  </si>
  <si>
    <t>Fuel Distributor's Statement for the calculation of the Annual share payable to the minister of Energy and Natural Resources</t>
  </si>
  <si>
    <t>CA-QC-Notice-Fuel-Distributor's-Statement2022</t>
  </si>
  <si>
    <t>Fuel Distributor's Statement for the calculation of the Annual share payable to Transition Énergétique Québec (2022)</t>
  </si>
  <si>
    <t>The Quebec Régie de l’énergie published the annual Fuel Distributor's Statement for the calculation of the Annual share payable to Transition Énergétique Québec. More information is available &lt;a href="http://www.regie-energie.qc.ca/en/regie/declarationdistributeurs.html" target="_blank"&gt;here&lt;/a&gt;.</t>
  </si>
  <si>
    <t>CA-ON-OReg417/22</t>
  </si>
  <si>
    <t>CA-QC-Vol.154,No.17(1194)</t>
  </si>
  <si>
    <t>Tracking Dog Handler Pilot Project</t>
  </si>
  <si>
    <t>CA-QC-Vol.154,No.17(1198)</t>
  </si>
  <si>
    <t>Activities in wetlands, bodies of water and sensitive areas; Regulatory scheme applying to activities on the basis of their environmental impact; Biomedical waste; Environmental impact assessment and review of certain projects; Reclamation of residual materials—Amendment</t>
  </si>
  <si>
    <t>CA-SOR/2022-80</t>
  </si>
  <si>
    <t>Regulations Amending the Immigration and Refugee Protection Regulations (Electronic Travel Authorization)</t>
  </si>
  <si>
    <t>CA-SOR/2022-74</t>
  </si>
  <si>
    <t>CA-SOR/2022-75</t>
  </si>
  <si>
    <t>CA-SOR/2022-81</t>
  </si>
  <si>
    <t>CA-NB-NBReg2022-23</t>
  </si>
  <si>
    <t>List of Species at Risk Regulation 2022-04-22 Amendments</t>
  </si>
  <si>
    <t>NBReg2013-39</t>
  </si>
  <si>
    <t>Prohibitions Regulation</t>
  </si>
  <si>
    <t>CA-NB-NBReg2022-24</t>
  </si>
  <si>
    <t>Prohibitions Regulation 2022-04-22 Amendments</t>
  </si>
  <si>
    <t>A change to this document has been announced. The effect of this change is to remove the Bathurst Aster (Symphyotrichum subulatum) Bathurst population from the list of endangered species. The first effective date of the document that makes the change is April 22, 2022. More information about the change, including any additional effective dates, is available &lt;a href="https://www2.gnb.ca/content/dam/gnb/Departments/ag-pg/PDF/RegulationsReglements/2022/2022-24.pdf" target="_blank"&gt;here&lt;/a&gt;.</t>
  </si>
  <si>
    <t>OReg75/08</t>
  </si>
  <si>
    <t>Designations - Regulatory Modernization Act, 2007</t>
  </si>
  <si>
    <t>CA-ON-OReg362/22</t>
  </si>
  <si>
    <t>Amending O. Reg. 75/08 (Designations)</t>
  </si>
  <si>
    <t>O.Reg.285/01</t>
  </si>
  <si>
    <t>When Work Deemed To Be Performed, Exemptions and Special Rules</t>
  </si>
  <si>
    <t>CA-ON-OReg361/22</t>
  </si>
  <si>
    <t>Amending O. Reg. 285/01 (When Work Deemed to Be Performed, Exemptions and Special Rules)</t>
  </si>
  <si>
    <t>A change to this document has been announced. The effect of this change is notably to clarify that requirements regarding temporary help agencies under the Employment Standards Act, 2000 (SO2000,c41) do not apply to an individual who is an assignment employee assigned to provide professional services, personal support services or homemaking services. The first effective date of the document that makes the change is May 1, 2022. More information about the change, including any additional effective dates, is available &lt;a href="https://www.ontario.ca/laws/regulation/r22196" target="_blank"&gt;here&lt;/a&gt;.</t>
  </si>
  <si>
    <t>O.Reg.856</t>
  </si>
  <si>
    <t>Roll-Over Protective Structures</t>
  </si>
  <si>
    <t>CA-ON-OReg371/22</t>
  </si>
  <si>
    <t>Amending Reg. 856 of R.R.O. 1990 (Roll-over Protective Structures)</t>
  </si>
  <si>
    <t>O.Reg.859</t>
  </si>
  <si>
    <t>Window Cleaning</t>
  </si>
  <si>
    <t>CA-ON-OReg370/22</t>
  </si>
  <si>
    <t>Amending Reg. 859 of R.R.O. 1990 (Window Cleaning)</t>
  </si>
  <si>
    <t>A change to this document has been announced. The effect of this change is notably to revoke provisions that set out the information required in a written report or notice of occurrence when a person engaged in window cleaning is killed or injured.
 The first effective date of the document that makes the change is July 1, 2021. More information about the change, including any additional effective dates, is available &lt;a href="https://www.ontario.ca/laws/regulation/r21424" target="_blank"&gt;here&lt;/a&gt;.</t>
  </si>
  <si>
    <t>O.Reg.67/93</t>
  </si>
  <si>
    <t>Health Care and Residential Facilities</t>
  </si>
  <si>
    <t>CA-ON-OReg369/22</t>
  </si>
  <si>
    <t>Amending O. Reg. 67/93 (Health Care and Residential Facilities)</t>
  </si>
  <si>
    <t>A change to this document has been announced. The effect of this change is to provide that these rules for healthcare and residential facilities apply to any "long-term care home" as defined by and licensed under the Fixing Long-Term Care Act, 2021. The first effective date of the document that makes the change is April 11, 2022. More information about the change, including any additional effective dates, is available &lt;a href="https://www.ontario.ca/laws/regulation/r22273" target="_blank"&gt;here&lt;/a&gt;.</t>
  </si>
  <si>
    <t>O.Reg.714/94</t>
  </si>
  <si>
    <t>Firefighters - Protective Equipment</t>
  </si>
  <si>
    <t>CA-ON-OReg368/22</t>
  </si>
  <si>
    <t>Amending O. Reg. 714/94 (Firefighters - Protective Equipment)</t>
  </si>
  <si>
    <t>CA-ON-OReg420/21</t>
  </si>
  <si>
    <t>Notices and Reports Under Sections 51 to 53.1 of the Act – Fatalities, Critical Injuries, Occupational Illnesses and Other Incidents</t>
  </si>
  <si>
    <t>CA-ON-OReg376/22</t>
  </si>
  <si>
    <t>Amending O. Reg. 420/21 (Notices and Reports under Sections 51 to 53.1 of the Act - Fatalities, Critical Injuries, Occupational Illnesses and Other Incidents)</t>
  </si>
  <si>
    <t>O.Reg.213/91</t>
  </si>
  <si>
    <t>Construction Projects</t>
  </si>
  <si>
    <t>CA-ON-OReg375/22</t>
  </si>
  <si>
    <t>Amending O. Reg. 213/91 (Construction Projects)</t>
  </si>
  <si>
    <t>A change to this document has been announced. The effect of this change is to replace references to obsolete legislation with the Building Opportunities in the Skilled Trades Act, 2021 (CA-ON-SO2021,c28), as it relates to certificates of qualification and apprenticeship training agreements for certain work. The first effective date of the document that makes the change is January 1, 2022. More information about the change, including any additional effective dates, is available &lt;a href="https://www.ontario.ca/laws/regulation/r21885" target="_blank"&gt;here&lt;/a&gt;.</t>
  </si>
  <si>
    <t>O.Reg.851</t>
  </si>
  <si>
    <t>Industrial Establishments</t>
  </si>
  <si>
    <t>CA-ON-OReg374/22</t>
  </si>
  <si>
    <t>Amending Reg. 851 of R.R.O. 1990 (Industrial Establishments)</t>
  </si>
  <si>
    <t>O.Reg.854</t>
  </si>
  <si>
    <t>Mines and Mining Plants</t>
  </si>
  <si>
    <t>CA-ON-OReg373/22</t>
  </si>
  <si>
    <t>Amending Reg. 854 of R.R.O. 1990 (Mines and Mining Plants)</t>
  </si>
  <si>
    <t>A change to this document has been announced. The effect of this change is to replace references to obsolete legislation with the Building Opportunities in the Skilled Trades Act, 2021 (CA-ON-SO2021,c28), as it relates to certificates of qualification for certain work. The first effective date of the document that makes the change is January 1, 2022. More information about the change, including any additional effective dates, is available &lt;a href="https://www.ontario.ca/laws/regulation/r21884" target="_blank"&gt;here&lt;/a&gt;.</t>
  </si>
  <si>
    <t>O.Reg.101/07</t>
  </si>
  <si>
    <t>Waste Management Projects</t>
  </si>
  <si>
    <t>CA-ON-OReg389/22</t>
  </si>
  <si>
    <t>Amending O. Reg. 101/07 (Waste Management Projects)</t>
  </si>
  <si>
    <t>A change to this document has been announced. The effect of this change is notably to (1) establish material criteria for the designation of Class B, Class C and Class D thermal treatment sites, (2) clarify the conditions under which the various classes of thermal treatment sites may be defined or established as a major commercial or business enterprise or activity that is designated as an undertaking, (3) remove various exemptions for designations of certain undertakings. The first effective date of the document that makes the change is July 1, 2022. More information about the change, including any additional effective dates, is available &lt;a href="https://www.ontario.ca/laws/regulation/r22389" target="_blank"&gt;here&lt;/a&gt;.</t>
  </si>
  <si>
    <t>O.Reg.45/11</t>
  </si>
  <si>
    <t>General - Mining Act</t>
  </si>
  <si>
    <t>CA-ON-OReg385/22</t>
  </si>
  <si>
    <t>Amending O. Reg. 45/11 (General)</t>
  </si>
  <si>
    <t>A change to this document has been announced. The effect of this change is notably to provide that bulk sample permission holders must pay to the Crown any proceeds from consultations with Aboriginal communities related to the carrying out of activities under the bulk sample permission. The first effective date of the document that makes the change is April 20, 2022. More information about the change, including any additional effective dates, is available &lt;a href="https://www.ontario.ca/laws/regulation/r22385" target="_blank"&gt;here&lt;/a&gt;.</t>
  </si>
  <si>
    <t>OReg424/97</t>
  </si>
  <si>
    <t>Commercial Motor Vehicle Operators' Information</t>
  </si>
  <si>
    <t>CA-ON-OReg419/22</t>
  </si>
  <si>
    <t>Amending O. Reg. 424/97 (Commercial Motor Vehicle Operators’ Information)</t>
  </si>
  <si>
    <t>A change to this document has been announced. The effect of this change is to provide that a commercial motor vehicle operator's safety record shall contain the results of any investigation or inspection under the Towing and Storage Safety and Enforcement Act, 2021 (CA-ON-SO2021,c26,Sch3). The first effective date of the document that makes the change is July 1, 2023. More information about the change, including any additional effective dates, is available &lt;a href="https://www.ontario.ca/laws/regulation/r22419" target="_blank"&gt;here&lt;/a&gt;.</t>
  </si>
  <si>
    <t>RRO1990,Reg587</t>
  </si>
  <si>
    <t>Equipment</t>
  </si>
  <si>
    <t>CA-ON-OReg420/22</t>
  </si>
  <si>
    <t>Amending Reg. 587 of R.R.O. 1990 (Equipment)</t>
  </si>
  <si>
    <t>A change to this document has been announced. The effect of this change is to introduce provisions concerning the use of safety equipment by tow trucks, including safety lighting and high-visibility apparel for operators. The first effective date of the document that makes the change is January 1, 2023. More information about the change, including any additional effective dates, is available &lt;a href="https://www.ontario.ca/laws/regulation/r22420" target="_blank"&gt;here&lt;/a&gt;.</t>
  </si>
  <si>
    <t>RRO1990,Reg611</t>
  </si>
  <si>
    <t>Safety Inspections</t>
  </si>
  <si>
    <t>CA-ON-OReg416/22</t>
  </si>
  <si>
    <t>Amending Reg. 611 of R.R.O. 1990 (Safety Inspections)</t>
  </si>
  <si>
    <t>A change to this document has been announced. The effect of this change is notably to replace references to obsolete provisions with provisions from the Classes of Vehicles Requiring Annual and Semi-Annual Inspections (CA-ON-OReg174/22), as they relate to commercial vehicles and passenger carrying vehicles. The first effective date of the document that makes the change is April 21, 2022. More information about the change, including any additional effective dates, is available &lt;a href="https://www.ontario.ca/laws/regulation/r22416" target="_blank"&gt;here&lt;/a&gt;.</t>
  </si>
  <si>
    <t>RRO1990,Reg628</t>
  </si>
  <si>
    <t>Vehicle Permits</t>
  </si>
  <si>
    <t>CA-ON-OReg425/22</t>
  </si>
  <si>
    <t>Amending Reg. 628 of R.R.O. 1990 (Vehicle Permits)</t>
  </si>
  <si>
    <t>A change to this document has been announced. The first effective date of the document that makes the change is April 22, 2022. More information about the change, including any additional effective dates, is available &lt;a href="https://www.ontario.ca/laws/regulation/r22425" target="_blank"&gt;here&lt;/a&gt;.</t>
  </si>
  <si>
    <t>O.Reg.804</t>
  </si>
  <si>
    <t>General - Motorized Snow Vehicles Act</t>
  </si>
  <si>
    <t>CA-ON-OReg429/22</t>
  </si>
  <si>
    <t>Amending Reg. 804 of R.R.O. 1990 (General)</t>
  </si>
  <si>
    <t>A change to this document has been announced. The first effective date of the document that makes the change is April 22, 2022. More information about the change, including any additional effective dates, is available &lt;a href="https://www.ontario.ca/laws/regulation/r22429" target="_blank"&gt;here&lt;/a&gt;.</t>
  </si>
  <si>
    <t>OReg381/98</t>
  </si>
  <si>
    <t>Special Permits</t>
  </si>
  <si>
    <t>CA-ON-OReg427/22</t>
  </si>
  <si>
    <t>Amending O. Reg. 381/98 (Special Permits)</t>
  </si>
  <si>
    <t>A change to this document has been announced. The effect of this change is to adjust the annual fees associated with certain types of permits. The first effective date of the document that makes the change is April 22, 2022. More information about the change, including any additional effective dates, is available &lt;a href="https://www.ontario.ca/laws/regulation/r22427" target="_blank"&gt;here&lt;/a&gt;.</t>
  </si>
  <si>
    <t>CA-ON-OReg434/22</t>
  </si>
  <si>
    <t>RRO1990,Reg863</t>
  </si>
  <si>
    <t>General - Off-Road Vehicles Act</t>
  </si>
  <si>
    <t>CA-ON-OReg431/22</t>
  </si>
  <si>
    <t>Amending Reg. 863 of R.R.O. 1990 (General)</t>
  </si>
  <si>
    <t>A change to this document has been announced. The first effective date of the document that makes the change is April 22, 2022. More information about the change, including any additional effective dates, is available &lt;a href="https://www.ontario.ca/laws/regulation/r22431" target="_blank"&gt;here&lt;/a&gt;.</t>
  </si>
  <si>
    <t>CA-NS-Bill145(64-1)</t>
  </si>
  <si>
    <t>Bill 145 - Electricity Act (amended)</t>
  </si>
  <si>
    <t>CA-BC-Prop-2022-04-21</t>
  </si>
  <si>
    <t>Hazardous work protections for youth</t>
  </si>
  <si>
    <t>CA-BC-Prop-2022-04-13</t>
  </si>
  <si>
    <t>Public Interest Bonding Strategy</t>
  </si>
  <si>
    <t>NRCC-NBC-2015</t>
  </si>
  <si>
    <t>National Building Code of Canada 2015</t>
  </si>
  <si>
    <t>CA-NRCC-NBC-2020</t>
  </si>
  <si>
    <t>National Building Code of Canada 2020</t>
  </si>
  <si>
    <t>A change to this document has been announced. According to the National Research Council of Canada, the effect of this change is notably to (1) provide technical requirements for large farm buildings, "which address fire protection, occupant safety, structural design, and heating, ventilating, and air-conditioning", (2) introduce encapsulated mass timber construction, which enables the construction of wood buildings with up to 12 storeys, (3) update accessibility requirements to "reduce barriers related to anthropometrics, plumbing facilities, signage, entrances and elevators", (4) revise design requirements for evaporative equipment "to minimize the growth and transmission of Legionella and other bacteria", (5) introduce a home-type care occupancy "to allow safe and affordable care in a home-type setting", and (6) establish energy performance tiers "to provide a framework for achieving higher levels of energy efficiency in housing and small buildings". More information about the change, including any additional effective dates, is available &lt;a href="https://nrc-publications.canada.ca/eng/view/ft/?id=515340b5-f4e0-4798-be69-692e4ec423e8" target="_blank"&gt;here&lt;/a&gt;.</t>
  </si>
  <si>
    <t>NRCC-NPC-2015</t>
  </si>
  <si>
    <t>National Plumbing Code of Canada 2015</t>
  </si>
  <si>
    <t>CA-NRCC-NPC-2020</t>
  </si>
  <si>
    <t>National Plumbing Code of Canada 2020</t>
  </si>
  <si>
    <t>A change to this document has been announced. According to the National Research Council of Canada, the effect of this change is notably to (1) provide "fibrocement pipe and fittings as alternatives to asbestos-cement materials", (2) add new plumbing materials as options, which include "polyethylene of raised temperature (PE-RT) tube, cellular core polyvinyl chloride (PVC) pipe, and their fittings", (3) reduce the maximum temperature for water discharging from showerheads or into bathtubs in health-care facilities and seniors' residences to prevent scalding, (4) remove gate valves and screw caps "as options for backflow protection to reduce the risk of basement flooding", and (5) introduce "design requirements for non-potable rainwater harvesting systems" to facilitate the collection and use of rainwater. More information about the change, including any additional effective dates, is available &lt;a href="https://nrc-publications.canada.ca/eng/view/ft/?id=6e7cabf5-d83e-4efd-9a1c-6515fc7cdc71" target="_blank"&gt;here&lt;/a&gt;.</t>
  </si>
  <si>
    <t>CA-NECB-2017</t>
  </si>
  <si>
    <t>National Energy Code of Canada for Buildings 2017</t>
  </si>
  <si>
    <t>CA-NECB-2020</t>
  </si>
  <si>
    <t>National Energy Code of Canada for Buildings 2020</t>
  </si>
  <si>
    <t>A change to this document has been announced. According to the National Research Council of Canada, the effect of this change is notably to (1) provide that this Code "is extended to cover alterations, such as tenant improvements, to buildings originally constructed in accordance with the [National Energy Code of Canada for Buildings]", (2) reduce maximum overall thermal transmittance values for opaque building assemblies and fenestration to improve the thermal performance of the building envelope, (3) introduce whole-building airtightness "as an option for complying with air leakage requirements", (4) update lighting power densities "to reflect improvements in the efficacy of lighting products", (5) update "performance requirements for heating, ventilating and air-conditioning (HVAC) and service water heating equipment to align them with relevant standards and regulations", (6) remove the trade-off compliance paths for HVAC and service water systems, and (7) introduce a new compliance path with 4 energy performance tiers to "provide a framework for achieving higher levels of energy efficiency in buildings". More information about the change, including any additional effective dates, is available &lt;a href="https://nrc-publications.canada.ca/eng/view/ft/?id=af36747e-3eee-4024-a1b4-73833555c7fa" target="_blank"&gt;here&lt;/a&gt;.</t>
  </si>
  <si>
    <t>CA-NS-NSReg67/2022</t>
  </si>
  <si>
    <t>Proclamation of the Police Identity Management Act</t>
  </si>
  <si>
    <t>CA-Vol.156,No.15(1622)</t>
  </si>
  <si>
    <t>Interim Order Respecting Certain Requirements for Civil Aviation Due to COVID-19, No. 58</t>
  </si>
  <si>
    <t>This document is being replaced by the Interim Order Respecting Certain Requirements for Civil Aviation Due to COVID-19, No. 59 (CA-Vol.156,No.17(1915)). The first effective date of the document that makes the change is April 6, 2022. More information about the change, including any additional effective dates, is available &lt;a href="https://canadagazetteducanada.gc.ca/rp-pr/p1/2022/2022-04-23/html/notice-avis-eng.html#na4" target="_blank"&gt;here&lt;/a&gt;.</t>
  </si>
  <si>
    <t>RRQ,cN-1.1,r3</t>
  </si>
  <si>
    <t>Regulation respecting labour standards</t>
  </si>
  <si>
    <t>CA-QC-Vol.154,No.17(291)</t>
  </si>
  <si>
    <t>Increase in the amounts provided for in section 6 of the Regulation respecting labour standards (chapter N-1.1, r. 3) (Notice of Increase)</t>
  </si>
  <si>
    <t>A change to this document has been announced. The effect of the change is to increase various amounts contained in the document in accordance with the method prescribed by law, on May 1, 2022. More information about the change, including any additional effective dates, is available &lt;a href="http://www2.publicationsduquebec.gouv.qc.ca/dynamicSearch/telecharge.php?type=4&amp;file=2217.PDF" target="_blank"&gt;here&lt;/a&gt;.</t>
  </si>
  <si>
    <t>RRScF-16.1.Reg1</t>
  </si>
  <si>
    <t>Fisheries Regulations</t>
  </si>
  <si>
    <t>CA-SK-SR25/2022</t>
  </si>
  <si>
    <t>The Fisheries Amendment Regulations, 2022</t>
  </si>
  <si>
    <t>A change to this document has been announced. The effect of this change is notably to modify various fees for angling, aquaculture, and fishing licenses. The first effective date of the document that makes the change is April 14, 2022. More information about the change, including any additional effective dates, is available &lt;a href="https://publications.saskatchewan.ca/api/v1/products/117664/formats/135150/download" target="_blank"&gt;here&lt;/a&gt;.</t>
  </si>
  <si>
    <t>TCO-0-140</t>
  </si>
  <si>
    <t>Work/Rest Rules for Railway Operating Employees</t>
  </si>
  <si>
    <t>CA-TCR(2020-11-25)</t>
  </si>
  <si>
    <t>Duty and Rest Period Rules</t>
  </si>
  <si>
    <t>A new version of the rules for work and rest periods for railway-operating employees has been announced. The first effective date of the document that makes the change is November 25, 2021. More information about the change, including any additional effective dates, is available &lt;a href="https://tc.canada.ca/en/rail-transportation/operating-federal-railway/railway-employee-work-rest-rules-medical-rules/duty-rest-period-rules-railway-operating-employees" target="_blank"&gt;here&lt;/a&gt;.</t>
  </si>
  <si>
    <t>TP14371en</t>
  </si>
  <si>
    <t>Transport Canada Aeronautical Information Manual (TC AIM)</t>
  </si>
  <si>
    <t>CA-TP14371en(2022-03-24)</t>
  </si>
  <si>
    <t>Transport Canada Aeronautical Information Manual (TC AIM) 2022-03-24 Amendments</t>
  </si>
  <si>
    <t>A change to this document has been announced. The effect of this change is notably to (1) incorporate by reference updated weather forecasting standards, (2) remove various requirements related to decommissioned Very High Frequency Direction Finding equipment, (3) add information on the risks and hazards of low flying, (4) update and clarify Noise Abatement Departure Procedures, (5) introduce new rules governing formation flights ("&lt;a href="https://www.navcanada.ca/en/2enreng24march2022.pdf" target="_blank"&gt;more than one aircraft that, by prior arrangement between each of the pilots involved within the formation, operate as a single aircraft with regard to navigation and [air traffic control] procedures&lt;/a&gt;"), (6) clarify application rules for Class 4 medical certificates, and (7) add information concerning remotely-piloted aircraft (RPA) modification and registration requirements. The first effective date of the document that makes the change is March 24, 2022. More information about the change, including any additional effective dates, is available &lt;a href="https://tc.canada.ca/sites/default/files/2022-03/aim-2022-1_changes-e.pdf" target="_blank"&gt;here&lt;/a&gt;.</t>
  </si>
  <si>
    <t>CA-ON-OReg391/21</t>
  </si>
  <si>
    <t>Blue Box</t>
  </si>
  <si>
    <t>CA-ON-OReg349/22</t>
  </si>
  <si>
    <t>Amending O. Reg. 391/21 (Blue Box)</t>
  </si>
  <si>
    <t>A change to this document has been announced. The effect of this change is notably to (1) modify certain requirements for producer responsibility organizations such as following responsibilities concerning waste reduction, and establishing and operating collection systems with producers, (2) require producers to establish and operate collection systems (including systems for curbside and depot collection), (3) require producers to collect blue box material from public spaces in certain eligible communities, (4) require producers to offer collection system services to First Nations, (5) provide that producers of blue box material supplied to consumers in Ontario at any time must register with the Authority through the Registry, and (6) require that as of 1 April 2022, producer responsibility organizations that have entered into agreements with producers responsible for more than 66 percent of the aggregate weight of blue box material supplied to consumers in Ontario in 2020 must submit a report to the Authority describing how they intend to comply with requirements for collection systems, for processing blue box material, and for establishing a promotion and education program. The first effective date of the document that makes the change is April 14, 2022. More information about the change, including any additional effective dates, is available &lt;a href="https://www.ontario.ca/laws/regulation/r22349" target="_blank"&gt;here&lt;/a&gt;.</t>
  </si>
  <si>
    <t>RSO1990,cE.9</t>
  </si>
  <si>
    <t>Emergency Management and Civil Protection Act</t>
  </si>
  <si>
    <t>CA-ON-OReg343/22</t>
  </si>
  <si>
    <t>Firefighter Certification</t>
  </si>
  <si>
    <t>CA-ON-Vol.155-16(1451)</t>
  </si>
  <si>
    <t>Proclamation of the Providing More Care, Protecting Seniors, and Building More Beds Act, 2021, Sched. 2, s. 1-3, 4(1)-(5), 5-8, 9(1)-(2), 10-13, 15-20, 22, 23(1), 24-28</t>
  </si>
  <si>
    <t>SO2017,c26,Sch3</t>
  </si>
  <si>
    <t>Smoke-Free Ontario Act, 2017</t>
  </si>
  <si>
    <t>Provisions of an Act amending this document are coming into force April 11, 2022. The effect of this change is to provide that a "long-term care home" as defined by and licensed under the Fixing Long-Term Care Act, 2021, is a prescribed place in which (1) selling tobacco products or vapour products is prohibited, (2) smoking in enclosed work spaces is permitted, and (3) Indigenous residents are permitted to smoke. More information about the change, including any additional effective dates, is available &lt;a href="https://www.ontario.ca/files/2022-04/ontariogazette_155-16.pdf" target="_blank"&gt;here&lt;/a&gt;.</t>
  </si>
  <si>
    <t>RSO1990,cP.43</t>
  </si>
  <si>
    <t>CA-ON-Vol.155-16(1452)</t>
  </si>
  <si>
    <t>Proclamation of the Supporting People and Businesses Act, 2021, Sched. 23, s. 14</t>
  </si>
  <si>
    <t>CA-ON-SO2019,c12</t>
  </si>
  <si>
    <t>Protecting a Sustainable Public Sector for Future Generations Act, 2019</t>
  </si>
  <si>
    <t>RSO1990,cH.7</t>
  </si>
  <si>
    <t>Health Protection and Promotion Act</t>
  </si>
  <si>
    <t>RSO1990,cC.37</t>
  </si>
  <si>
    <t>CA-ON-OReg364/20</t>
  </si>
  <si>
    <t>Rules for Areas at Step 3 and at the Roadmap Exit Step</t>
  </si>
  <si>
    <t>CA-ON-OReg346/22</t>
  </si>
  <si>
    <t>Revoking Various Regulations</t>
  </si>
  <si>
    <t>This document is being repealed. The first effective date of the document that makes the change is April 27, 2022. More information about the change, including any additional effective dates, is available &lt;a href="https://www.ontario.ca/laws/regulation/r22346" target="_blank"&gt;here&lt;/a&gt;.</t>
  </si>
  <si>
    <t>CA-ON-OReg363/20</t>
  </si>
  <si>
    <t>Steps of Reopening</t>
  </si>
  <si>
    <t>CA-ON-OReg141/20</t>
  </si>
  <si>
    <t>Temporary Health or Residential Facilities</t>
  </si>
  <si>
    <t>RSO1990,cP.13</t>
  </si>
  <si>
    <t>Planning Act</t>
  </si>
  <si>
    <t>CA-ON-SO2022,c12</t>
  </si>
  <si>
    <t>More Homes for Everyone Act, 2022</t>
  </si>
  <si>
    <t>CA-ON-SO2022,c10</t>
  </si>
  <si>
    <t>Keeping Ontario Open for Business Act, 2022</t>
  </si>
  <si>
    <t>RSO1990,cF.35</t>
  </si>
  <si>
    <t>CA-ON-SO2022,c13</t>
  </si>
  <si>
    <t>Tax Relief at the Pumps Act, 2022</t>
  </si>
  <si>
    <t>A change to this document has been announced. The first effective date of the document that makes the change is April 14, 2022. More information about the change, including any additional effective dates, is available &lt;a href="https://www.ola.org/sites/default/files/node-files/bill/document/pdf/2022/2022-04/b111_e.pdf" target="_blank"&gt;here&lt;/a&gt;.</t>
  </si>
  <si>
    <t>SO2012,c4</t>
  </si>
  <si>
    <t>Ontario Underground Infrastructure Notification System Act, 2012</t>
  </si>
  <si>
    <t>CA-ON-SO2022,c9</t>
  </si>
  <si>
    <t>Getting Ontario Connected Act, 2022</t>
  </si>
  <si>
    <t>A change to this document has been announced. The first effective date of the document that makes the change is April 14, 2022. More information about the change, including any additional effective dates, is available &lt;a href="https://www.ola.org/sites/default/files/node-files/bill/document/pdf/2022/2022-04/b093ra_e.pdf" target="_blank"&gt;here&lt;/a&gt;.</t>
  </si>
  <si>
    <t>CA-YT-YOIC2021/152</t>
  </si>
  <si>
    <t>High Risk Setting COVID-19 Vaccination Policy Regulation</t>
  </si>
  <si>
    <t>This document is being replaced by High Risk Residential Setting (COVID-19) Vaccination Policy Regulation (CA-YT-OIC2022/63), effective April 4, 2022. More information about the change, including any additional effective dates, is available &lt;a href="https://canlii.ca/t/55dc2" target="_blank"&gt;here&lt;/a&gt;.</t>
  </si>
  <si>
    <t>CA-YT-MO2022/28</t>
  </si>
  <si>
    <t>Wildlife Adaptive Management (Nelchina Caribou) Order</t>
  </si>
  <si>
    <t>CA-YT-MO2022/27</t>
  </si>
  <si>
    <t>Roadside Hunting of Grizzly Bear Order</t>
  </si>
  <si>
    <t>RSNWT1988,c81(Supp)</t>
  </si>
  <si>
    <t>A change to this document has been announced. The effect of the change is to provide alternatives to mail for the delivery or service of documents, and to allow notices of bylaw changes to be given online. The first effective date of the document that makes the change is November 1, 2018. More information about the change, including any additional effective dates, is available at https://www.assembly.gov.nt.ca/sites/default/files/bill_15_0.pdf.</t>
  </si>
  <si>
    <t>CA-NT-SNWT2019,c29</t>
  </si>
  <si>
    <t>Smoking Control and Reduction Act</t>
  </si>
  <si>
    <t>This Act is coming into force on March 31, 2020. More information about the change, including any additional effective dates, is available &lt;a href="https://www.justice.gov.nt.ca/en/files/northwest-territories-gazette/2020/03_2.pdf" target="_blank"&gt;here&lt;/a&gt; and &lt;a href="https://www.justice.gov.nt.ca/en/files/bills/18/2019.3/Bill_40.pdf" target="_blank"&gt;here&lt;/a&gt;.</t>
  </si>
  <si>
    <t>RSNWT1988,cP-13</t>
  </si>
  <si>
    <t>Public Highways Act</t>
  </si>
  <si>
    <t>CA-NT-SNWT1994,c20</t>
  </si>
  <si>
    <t>Access to Information and Protection of Privacy Act</t>
  </si>
  <si>
    <t>A change to this document has been announced. The first effective date of the document that makes the change is March 31, 2022. More information about the change, including any additional effective dates, is available &lt;a href="https://www.justice.gov.nt.ca/en/files/bills/19/2022.2/Bill_37.pdf" target="_blank"&gt;here&lt;/a&gt;.</t>
  </si>
  <si>
    <t>CA-NT-SNWT2022,c1</t>
  </si>
  <si>
    <t>An Act to Amend the Access to Information and Protection of Privacy Act</t>
  </si>
  <si>
    <t>CA-NT-SNWT2021,c15</t>
  </si>
  <si>
    <t>National Indigenous Peoples Day Act</t>
  </si>
  <si>
    <t>CA-Vol.156,No.11(1040)</t>
  </si>
  <si>
    <t>This document is being replaced by the Minimizing the Risk of Exposure to COVID-19 in Canada Order (Prohibition of Entry into Canada) (CA-Vol.156,No.16(1757)). The first effective date of the document that makes the change is March 31, 2022. More information about the change, including any additional effective dates, is available &lt;a href="https://canadagazetteducanada.gc.ca/rp-pr/p1/2022/2022-04-16/html/order-decret-eng.html#da1" target="_blank"&gt;here&lt;/a&gt;.</t>
  </si>
  <si>
    <t>CA-Vol.156,No.11(1067)</t>
  </si>
  <si>
    <t>This document is being replaced by the Minimizing the Risk of Exposure to COVID-19 in Canada Order (Quarantine, Isolation and Other Obligations) (CA-Vol.156,No.16(1788). The first effective date of the document that makes the change is March 31, 2022. More information about the change, including any additional effective dates, is available &lt;a href="https://canadagazetteducanada.gc.ca/rp-pr/p1/2022/2022-04-16/html/order-decret-eng.html#db1" target="_blank"&gt;here&lt;/a&gt;.</t>
  </si>
  <si>
    <t>CA-ON-OReg323/22</t>
  </si>
  <si>
    <t>Subject Waste Program</t>
  </si>
  <si>
    <t>CA-ON-SO2022,c7,Sch1</t>
  </si>
  <si>
    <t>Digital Platform Workers’ Rights Act, 2022</t>
  </si>
  <si>
    <t>SO2000,c41</t>
  </si>
  <si>
    <t>CA-ON-SO2022,c7</t>
  </si>
  <si>
    <t>Working for Workers Act, 2022</t>
  </si>
  <si>
    <t>A change to this document has been announced. The effect of this change is notably to provide that the regulations do not apply to business or information technology consultants if they meet certain conditions. The first effective date of the document that makes the change is April 11, 2022. More information about the change, including any additional effective dates, is available &lt;a href="https://www.ola.org/sites/default/files/node-files/bill/document/pdf/2022/2022-04/b088ra_e.pdf" target="_blank"&gt;here&lt;/a&gt;.</t>
  </si>
  <si>
    <t>O.Reg.474/07</t>
  </si>
  <si>
    <t>Needle Safety</t>
  </si>
  <si>
    <t>CA-ON-OReg274/22</t>
  </si>
  <si>
    <t>Amending O. Reg. 474/07 (Needle Safety)</t>
  </si>
  <si>
    <t>A change to this document has been announced. The effect of this change is to provide that these rules for needle safety apply to any workplace that is a "long-term care home" as defined by and licensed under the Fixing Long-Term Care Act, 2021. The first effective date of the document that makes the change is April 11, 2022. More information about the change, including any additional effective dates, is available &lt;a href="https://www.ontario.ca/laws/regulation/r22274" target="_blank"&gt;here&lt;/a&gt;.</t>
  </si>
  <si>
    <t>CA-ON-OReg273/22</t>
  </si>
  <si>
    <t>O.Reg.209/01</t>
  </si>
  <si>
    <t>Elevating Devices</t>
  </si>
  <si>
    <t>CA-ON-OReg272/22</t>
  </si>
  <si>
    <t>Amending O. Reg. 209/01 (Elevating Devices)</t>
  </si>
  <si>
    <t>A change to this document has been announced. The first effective date of the document that makes the change is July 1, 2022. More information about the change, including any additional effective dates, is available &lt;a href="https://www.ontario.ca/laws/regulation/r22272" target="_blank"&gt;here&lt;/a&gt;.</t>
  </si>
  <si>
    <t>CA-ON-OReg276/22</t>
  </si>
  <si>
    <t>OReg268/18</t>
  </si>
  <si>
    <t>General - Smoke-Free Ontario Act, 2017</t>
  </si>
  <si>
    <t>CA-ON-OReg312/22</t>
  </si>
  <si>
    <t>Amending O. Reg. 268/18 (General)</t>
  </si>
  <si>
    <t>A change to this document has been announced. The effect of this change is to provide that a "long-term care home" as defined by and licensed under the Fixing Long-Term Care Act, 2021, is a prescribed place in which smoking and using electronic cigarettes is prohibited. The first effective date of the document that makes the change is April 11, 2022. More information about the change, including any additional effective dates, is available &lt;a href="https://www.ontario.ca/laws/regulation/r22312" target="_blank"&gt;here&lt;/a&gt;.</t>
  </si>
  <si>
    <t>O.Reg.242/08</t>
  </si>
  <si>
    <t>General - Endangered Species</t>
  </si>
  <si>
    <t>CA-ON-OReg328/22</t>
  </si>
  <si>
    <t>Amending O. Reg. 242/08 (General)</t>
  </si>
  <si>
    <t>A change to this document has been announced. The effect of this change is notably to (1) extend the applicability of this Regulation to all species on the Species at Risk in Ontario List as it is read on January 26, 2022, (2) extend conditional exemptions to activities that may impact species newly classified as threatened or endangered, (3) provide prohibition dates on which prohibitions in harming relevant species and their habitats begin to apply, (4) rename the table of 'Transition Species' to 'Relevant Species' and incorporate all species listed prior to 2013 up to 2022, and (5) update the list of species for which certain prohibitions on killing, harming, capturing, or taking them do not apply for activities that are necessary to avoid or reduce a non-imminent threat to human health or safety. The first effective date of the document that makes the change is May 31, 2022. More information about the change, including any additional effective dates, is available &lt;a href="https://www.ontario.ca/laws/regulation/r22328" target="_blank"&gt;here&lt;/a&gt;.</t>
  </si>
  <si>
    <t>O.Reg.362</t>
  </si>
  <si>
    <t>Waste Management - PCB's</t>
  </si>
  <si>
    <t>CA-ON-OReg325/22</t>
  </si>
  <si>
    <t>Amending Reg. 362 of R.R.O. 1990 (Waste Management - PCB’s)</t>
  </si>
  <si>
    <t>O.Reg.347</t>
  </si>
  <si>
    <t>General - Waste Management</t>
  </si>
  <si>
    <t>CA-ON-OReg324/22</t>
  </si>
  <si>
    <t>Amending Reg. 347 of R.R.O. 1990 (General - Waste Management)</t>
  </si>
  <si>
    <t>A change to this document has been announced. The effect of this change is notably to (1) require that all documents required to be submitted through the Resource Productivity and Recovery Registry be submitted electronically, (2) revise the definition of "mobile health care" to include human or animal health care activities carried out at temporary sites and exclude accreditied pharmacies and "long-term care homes" as defined by and licensed under the Fixing Long-Term Care Act, 2021, and (3) update various manifest submission and acceptance requirements for generators and carriers of subject waste. The first effective date of the document that makes the change is April 11, 2022. More information about the change, including any additional effective dates, is available &lt;a href="https://www.ontario.ca/laws/regulation/r22324" target="_blank"&gt;here&lt;/a&gt;.</t>
  </si>
  <si>
    <t>O.Reg.213/07</t>
  </si>
  <si>
    <t>Fire Code</t>
  </si>
  <si>
    <t>CA-ON-OReg319/22</t>
  </si>
  <si>
    <t>Amending O. Reg. 213/07 (Fire Code)</t>
  </si>
  <si>
    <t>A change to this document has been announced. The effect of this change is to provide that the rules for health care facilities apply to a "long-term care home" as defined by and licensed under the Fixing Long-Term Care Act, 2021, The first effective date of the document that makes the change is April 11, 2022. More information about the change, including any additional effective dates, is available &lt;a href="https://www.ontario.ca/laws/regulation/r22319" target="_blank"&gt;here&lt;/a&gt;.</t>
  </si>
  <si>
    <t>CA-ON-OReg418/21</t>
  </si>
  <si>
    <t>Passenger Transportation Vehicles</t>
  </si>
  <si>
    <t>CA-ON-OReg314/22</t>
  </si>
  <si>
    <t>Amending O. Reg. 418/21 (Passenger Transportation Vehicles)</t>
  </si>
  <si>
    <t>A change to this document has been announced. The effect of this change is to provide that the rules for passenger transportation vehicles do not apply to vehicles operated on behalf of a "licensee" to transport residents of a "long-term care home", both as defined by the Fixing Long-Term Care Act, 2021, The first effective date of the document that makes the change is April 11, 2022. More information about the change, including any additional effective dates, is available &lt;a href="https://www.ontario.ca/laws/regulation/r22314" target="_blank"&gt;here&lt;/a&gt;.</t>
  </si>
  <si>
    <t>CA-NB-SNB2022,c4</t>
  </si>
  <si>
    <t>An Act to Amend the Electrical Installation and Inspection Act</t>
  </si>
  <si>
    <t>CA-QC-MO2022-030(E)</t>
  </si>
  <si>
    <t>CA-QC-RSQ,cP-29,r3.2</t>
  </si>
  <si>
    <t>Pilot project concerning the operation of a chicken slaughterhouse at the farm</t>
  </si>
  <si>
    <t>CA-SOR/2022-71</t>
  </si>
  <si>
    <t>Regulations Amending the Environmental Violations Administrative Monetary Penalties Regulations</t>
  </si>
  <si>
    <t>SOR/93-53</t>
  </si>
  <si>
    <t>Fishery (General) Regulations</t>
  </si>
  <si>
    <t>CA-SOR/2022-73</t>
  </si>
  <si>
    <t>Regulations Amending the Fishery (General) Regulations</t>
  </si>
  <si>
    <t>A change to this document has been announced. The effect of this change is notably to prescribe 30 major fish stocks, thus making them subject to fish stocks provisions. The first effective date of the document that makes the change is April 4, 2022. More information about the change, including any additional effective dates, is available &lt;a href="https://canadagazetteducanada.gc.ca/rp-pr/p2/2022/2022-04-13/html/sor-dors73-eng.html" target="_blank"&gt;here&lt;/a&gt;.</t>
  </si>
  <si>
    <t>CA-SOR/2022-72</t>
  </si>
  <si>
    <t>Order Amending the Import Control List (Miscellaneous Program)</t>
  </si>
  <si>
    <t>CA-SOR/2022-68</t>
  </si>
  <si>
    <t>Regulations Amending the Income Tax Regulations (COVID-19 — Twenty-sixth Qualifying Period)</t>
  </si>
  <si>
    <t>CA-SOR/2007-285</t>
  </si>
  <si>
    <t>Special Economic Measures (Burma) Regulations</t>
  </si>
  <si>
    <t>CA-SOR/2022-65</t>
  </si>
  <si>
    <t>Regulations Amending the Special Economic Measures (Burma) Regulations</t>
  </si>
  <si>
    <t>A change to this document has been announced. The first effective date of the document that makes the change is March 24, 2022. More information about the change, including any additional effective dates, is available &lt;a href="https://canadagazetteducanada.gc.ca/rp-pr/p2/2022/2022-04-13/html/sor-dors65-eng.html" target="_blank"&gt;here&lt;/a&gt;.</t>
  </si>
  <si>
    <t>CA-SOR/2022-67</t>
  </si>
  <si>
    <t>CA-SOR/2022-64</t>
  </si>
  <si>
    <t>CA-SC2015,c13,s2</t>
  </si>
  <si>
    <t>Canadian Victims Bill of Rights</t>
  </si>
  <si>
    <t>CA-SI/2022-20</t>
  </si>
  <si>
    <t>Order Fixing June 20, 2022 as the Day on Which Certain Sections of that Act Come into Force</t>
  </si>
  <si>
    <t>Provisions of an Act amending this document are coming into force June 20, 2022. More information about the change, including any additional effective dates, is available &lt;a href="https://canadagazetteducanada.gc.ca/rp-pr/p2/2022/2022-04-13/html/si-tr20-eng.html" target="_blank"&gt;here&lt;/a&gt; and &lt;a href="https://www.parl.ca/DocumentViewer/en/42-1/bill/C-77/royal-assent" target="_blank"&gt;here&lt;/a&gt;.</t>
  </si>
  <si>
    <t>RRQ,cQ-2,r4.1</t>
  </si>
  <si>
    <t>Clean Air Regulation</t>
  </si>
  <si>
    <t>CA-QC-OC628-2022</t>
  </si>
  <si>
    <t>Regulation to amend the Clean Air Regulation</t>
  </si>
  <si>
    <t>A change to this document has been announced. The effect of this change is to update the limit values for concentrations of nickel compounds in the air. The first effective date of the document that makes the change is April 28, 2022. More information about the change, including any additional effective dates, is available &lt;a href="http://www2.publicationsduquebec.gouv.qc.ca/dynamicSearch/telecharge.php?type=1&amp;file=105646.pdf" target="_blank"&gt;here&lt;/a&gt;.</t>
  </si>
  <si>
    <t>RRQ,cS-2.1,r13</t>
  </si>
  <si>
    <t>Regulation respecting occupational health and safety</t>
  </si>
  <si>
    <t>CA-QC-OC644-2022</t>
  </si>
  <si>
    <t>Regulation to amend the Regulation respecting occupational health and safety</t>
  </si>
  <si>
    <t>A change to this document has been announced. The effect of this change is notably to (1) revise the definition of “respirable asbestos fibre” to provide that the asbestos must have "a ratio of length to diameter of more than 3:1", and (2) update the list of concentrations of air contaminants workers may be exposed to without affecting their health. The first effective date of the document that makes the change is April 28, 2022. More information about the change, including any additional effective dates, is available &lt;a href="http://www2.publicationsduquebec.gouv.qc.ca/dynamicSearch/telecharge.php?type=1&amp;file=105652.pdf" target="_blank"&gt;here&lt;/a&gt;.</t>
  </si>
  <si>
    <t>RRQ,cS-2.1,r4</t>
  </si>
  <si>
    <t>Safety Code for the construction industry</t>
  </si>
  <si>
    <t>CA-QC-OC645-2022</t>
  </si>
  <si>
    <t>Regulation to amend the Safety Code for the construction industry</t>
  </si>
  <si>
    <t>A change to this document has been announced. The effect of this change is notably to (1) provide that a high-efficiency filter must fully cover a work area in low- and high-risk work sites, (2) require that friable asbestos material be removed from a work area using wetting agents prior to undertaking certain building works, (3) require that friable asbestos material and their dust be kept wetting using a wetting agent for the duration of works, (4) clarify that debris of materials containing asbestos be placed in airtight containers during work inside buildings and require the employer to dispose of the debris using methods to ensure airtightness during transportation, (5) require the outside of containers for asbestos-containing material debris by cleaned by wetting, (6) require employers on construction sites where moderate-risk work is being carried out to ensure workers' disposable protective clothing be sealed in an airtight container or in a water-filled receptacle, (7) require the isolation of a work area, the installation of efficient exhaust venitilation systems, and the designated use of glove bags where work to handle or remove certain volumes of asboestos-containing materials, and (8) require workers on construction sites where moderate-risk work is being carried out to decontaminate protective clothing and individual protective equipment prior to removing the protections. The first effective date of the document that makes the change is April 28, 2022. More information about the change, including any additional effective dates, is available &lt;a href="http://www2.publicationsduquebec.gouv.qc.ca/dynamicSearch/telecharge.php?type=1&amp;file=105653.pdf" target="_blank"&gt;here&lt;/a&gt;.</t>
  </si>
  <si>
    <t>CA-QC-OC663-2022</t>
  </si>
  <si>
    <t>Regulation to amend the Regulation respecting labour standards</t>
  </si>
  <si>
    <t>CA-QC-OC646-2022</t>
  </si>
  <si>
    <t>BCReg253/2000</t>
  </si>
  <si>
    <t>BCReg326/2004</t>
  </si>
  <si>
    <t>Sewerage System Regulation</t>
  </si>
  <si>
    <t>BC.Reg.66/85</t>
  </si>
  <si>
    <t>Weed Control Regulation</t>
  </si>
  <si>
    <t>BCReg210/99</t>
  </si>
  <si>
    <t>Food Premises Regulation</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</si>
  <si>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href="https://www.bclaws.gov.bc.ca/civix/document/id/oic/oic_cur/0157_2022" target="_blank"&gt;here&lt;/a&gt;.</t>
  </si>
  <si>
    <t>BC.Reg.193/2015</t>
  </si>
  <si>
    <t>Off-Road Vehicle Regulation, 2015</t>
  </si>
  <si>
    <t>BCReg7/93</t>
  </si>
  <si>
    <t>Labour Relations Regulation</t>
  </si>
  <si>
    <t>A change to this document has been announced. The first effective date of the document that makes the change is April 6, 2020. More information about the change, including any additional effective dates, is available &lt;a href="http://www.bclaws.ca/civix/document/id/oic/oic_cur/0171_2020" target="_blank"&gt;here&lt;/a&gt;.</t>
  </si>
  <si>
    <t>BC.Reg.134/2014</t>
  </si>
  <si>
    <t>Administrative Penalties (Integrated Pest Management Act) Regulation</t>
  </si>
  <si>
    <t>BCReg450/59</t>
  </si>
  <si>
    <t>Part XX Vehicular Traffic on Industrial Roads Regulations</t>
  </si>
  <si>
    <t>BC.Reg.70/2004</t>
  </si>
  <si>
    <t>Forest Service Road Use Regulation</t>
  </si>
  <si>
    <t>BC.Reg.261/2016</t>
  </si>
  <si>
    <t>Fish and Seafood Licensing Regulation</t>
  </si>
  <si>
    <t>BCReg373/80</t>
  </si>
  <si>
    <t>Firearm (Authorization) Regulation</t>
  </si>
  <si>
    <t>BC.Reg.63/88</t>
  </si>
  <si>
    <t>Hazardous Waste Regulation</t>
  </si>
  <si>
    <t>CA-BC-BCReg152/2019</t>
  </si>
  <si>
    <t>Open Burning Smoke Control Regulation</t>
  </si>
  <si>
    <t>BC.Reg.87/2012</t>
  </si>
  <si>
    <t>Municipal Wastewater Regulation</t>
  </si>
  <si>
    <t>BC.Reg.18/2002</t>
  </si>
  <si>
    <t>Organic Matter Recycling Regulation</t>
  </si>
  <si>
    <t>A change to this document has been announced. The change updates references to agricultural waste, agricultural waste composting, poultry manure, and plant matter derived from processing plants to reflect the creation of the Code of Practice for Agricultural Environment Management. The first effective date of the document that makes the change is February 28, 2019. More information about the change, including any additional effective dates, is available at http://www.bclaws.ca/civix/document/id/oic/oic_cur/0016_2019.</t>
  </si>
  <si>
    <t>BCReg164/73</t>
  </si>
  <si>
    <t>Summit Creek Campground and Recreation Area Regulations</t>
  </si>
  <si>
    <t>BCReg79/71</t>
  </si>
  <si>
    <t>Permit Regulations</t>
  </si>
  <si>
    <t>CA-BC-BCReg30/78</t>
  </si>
  <si>
    <t>Commercial Transport Regulations</t>
  </si>
  <si>
    <t>CA-NL-NLR19/22</t>
  </si>
  <si>
    <t>Notice of Protected Water Supply Area of Margaree Pond, WS-S-0258, Local Service District of Fox Roost - Margaree</t>
  </si>
  <si>
    <t>CA-NL-NLR18/22</t>
  </si>
  <si>
    <t>Notice of Protected Water Supply Area of First Pond, WS-S-0246, Town of Fleur de Lys</t>
  </si>
  <si>
    <t>CA-AZA-ASRP</t>
  </si>
  <si>
    <t>Association of Zoos &amp; Aquariums - The Accreditation Standards &amp; Related Policies</t>
  </si>
  <si>
    <t>CA-AZA-ASRP(2022)</t>
  </si>
  <si>
    <t>Canadian Association of Zoos &amp; Aquariums - The Accreditation Standards &amp; Related Policies 2022 Amendments</t>
  </si>
  <si>
    <t>A change to this document has been announced. The effect of this change is notably to require (1) conservation action plans and strategies to have defined measurable outcomes, (2) life-support assessments and warning mechanisms to be monitored frequently such that life-support failures will be identified before deleterious effects occur, (3) documentation records for the acquisition of all cetaceans to demonstrate that no animals were originally obtained from a drive fishery, (4) institutions to submit Annual Report on Conservation and Science surveys annually to AZA, and (5) inspections for animal facilities that are located within or adjacent to a museum. More information about the change, including any additional effective dates, is available &lt;a href="https://assets.speakcdn.com/assets/2332/aza-accreditation-standards.pdf" target="_blank"&gt;here&lt;/a&gt;.</t>
  </si>
  <si>
    <t>BC.Reg.227/67</t>
  </si>
  <si>
    <t>Class C Parks Regulations</t>
  </si>
  <si>
    <t>CA-BC-BCReg81/2022</t>
  </si>
  <si>
    <t>Class C Parks Regulations 2022-03-30 Amendments</t>
  </si>
  <si>
    <t>A change to this document has been announced. The effect of this change is notably to prohibit any person from hunting or carrying a loaded firearm in any Class C park, except for certain officers and members of the armed forces. The first effective date of the document that makes the change is March 30, 2022. More information about the change, including any additional effective dates, is available &lt;a href="https://www.bclaws.gov.bc.ca/civix/document/id/oic/oic_cur/0152_2022" target="_blank"&gt;here&lt;/a&gt;.</t>
  </si>
  <si>
    <t>BC.Reg.36/2016</t>
  </si>
  <si>
    <t>Water Sustainability Regulation</t>
  </si>
  <si>
    <t>CA-BC-BCReg84/2022</t>
  </si>
  <si>
    <t>Water Sustainability Regulation 2022-03-31 Amendments</t>
  </si>
  <si>
    <t>BCReg38/2005</t>
  </si>
  <si>
    <t>Wildfire Regulation</t>
  </si>
  <si>
    <t>CA-BC-BCReg83/2022</t>
  </si>
  <si>
    <t>Wildfire Regulation 2022-03-30 Amendments</t>
  </si>
  <si>
    <t>A change to this document has been announced. The effect of this change is to provide that the requirement to cease Class IV (high) and Class 5 (extreme) Fire Danger Class activities after 3 consecutive days of activity between 1:00 p.m. and sunset, applies year-round. The first effective date of the document that makes the change is March 30, 2022. More information about the change, including any additional effective dates, is available &lt;a href="https://www.bclaws.gov.bc.ca/civix/document/id/oic/oic_cur/0153_2022" target="_blank"&gt;here&lt;/a&gt;.</t>
  </si>
  <si>
    <t>RSBC1996,c458</t>
  </si>
  <si>
    <t>Transport of Dangerous Goods Act</t>
  </si>
  <si>
    <t>CA-BC-SBC2022,c9</t>
  </si>
  <si>
    <t>Commercial Liens Act</t>
  </si>
  <si>
    <t>A change to this document has been announced. The first effective date of the document that makes the change has not yet been announced. More information about the change, including any additional effective dates, is available &lt;a href="https://www.leg.bc.ca/parliamentary-business/legislation-debates-proceedings/42nd-parliament/3rd-session/bills/progress-of-bills" target="_blank"&gt;here&lt;/a&gt;.</t>
  </si>
  <si>
    <t>RSBC1996,c318</t>
  </si>
  <si>
    <t>CA-BC-SBC2022,c8</t>
  </si>
  <si>
    <t>Employment Standards Amendment Act, 2022</t>
  </si>
  <si>
    <t>CA-SK-SR19/2022</t>
  </si>
  <si>
    <t>The Wildlife Habitat and Ecological Lands Designation Amendment Regulations, 2022</t>
  </si>
  <si>
    <t>RRScW-13.1Reg1</t>
  </si>
  <si>
    <t>The Wildlife Regulations</t>
  </si>
  <si>
    <t>CA-SK-SR20/2022</t>
  </si>
  <si>
    <t>The Wildlife Amendment Regulations, 2022</t>
  </si>
  <si>
    <t>A change to this document has been announced. The effect of this change is notably to (1) indicate that unless authorized by the director, no person shall interfere or tamper with any trap set by a wildlife officer to capture or kill any wildlife for scientific study, (2) require northern fur conservation area fur license holders to hunt bears using a rifle that has an empty cartridge case length which is greater than 32 millimeters, and (3) modify certain wildlife habitat, game, and fur license fees. The first effective date of the document that makes the change is April 1, 2022. More information about the change, including any additional effective dates, is available &lt;a href="https://publications.saskatchewan.ca/api/v1/products/117548/formats/135004/download" target="_blank"&gt;here&lt;/a&gt;.</t>
  </si>
  <si>
    <t>CA-Vol.156,No.15(1719)</t>
  </si>
  <si>
    <t>Order Amending Schedule 1 to the Canada National Parks Act</t>
  </si>
  <si>
    <t>CA-Vol.156,No.13(1339)</t>
  </si>
  <si>
    <t>Interim Order Respecting Certain Requirements for Civil Aviation Due to COVID-19, No. 57</t>
  </si>
  <si>
    <t>This document is being replaced by the Interim Order Respecting Certain Requirements for Civil Aviation Due to COVID-19, No. 58 (CA-Vol.156,No.15(1622)). The effect of this change is to provide that certain symptom reporting and carriage rules apply to crew members on aircraft operated by a private operator. The first effective date of the document that makes the change is March 24, 2022. More information about the change, including any additional effective dates, is available &lt;a href="https://canadagazetteducanada.gc.ca/rp-pr/p1/2022/2022-04-09/html/notice-avis-eng.html#nl3" target="_blank"&gt;here&lt;/a&gt;.</t>
  </si>
  <si>
    <t>CA-Vol.156,No.5(412)</t>
  </si>
  <si>
    <t>Interim Order No. 2 Respecting Vessel Restrictions and Vaccination Requirements Due to the Coronavirus Disease 2019 (COVID-19)</t>
  </si>
  <si>
    <t>This document is being replaced by the Interim Order No. 3 Respecting Vessel Restrictions and Vaccination Requirements Due to the Coronavirus Disease 2019 (COVID-19) (CA-Vol.156,No.15(1670)). The effect of this change is notably to (1) require the authorized representatives of vessels to ensure measures are in place for COVID-19 testing of every person onboard the vessel that is not fully vaccinated, (2) establish specific rules for the operation of large Canadian cruise ships, large foreign cruise ships, small Canadian cruise ships, and small foreign cruise ships, (3) update port procedures checklist requirements, and (4) require all persons on board a vessel subject to these rule to self-monitor for COVID-19 symptoms and follow relevant procedures if symptoms develop. The first effective date of the document that makes the change is March 31, 2022. More information about the change, including any additional effective dates, is available &lt;a href="https://canadagazetteducanada.gc.ca/rp-pr/p1/2022/2022-04-09/html/notice-avis-eng.html#nc1" target="_blank"&gt;here&lt;/a&gt;.</t>
  </si>
  <si>
    <t>CA-Vol.156,No.14(1523)</t>
  </si>
  <si>
    <t>Regulations Amending the Energy Efficiency Regulations, 2016 (Amendment 17)</t>
  </si>
  <si>
    <t>CA-Vol.156,No.14(1454)</t>
  </si>
  <si>
    <t>Regulations Amending the Pest Control Products Regulations (Applications and Imports)</t>
  </si>
  <si>
    <t>CA-Vol.156,No.14(1439)</t>
  </si>
  <si>
    <t>Order Adding Toxic Substances to Schedule 1 to the Canadian Environmental Protection Act, 1999</t>
  </si>
  <si>
    <t>CA-Vol.156,No.14(1428)</t>
  </si>
  <si>
    <t>CA-Vol.156,No.14(1413)</t>
  </si>
  <si>
    <t>Notice of intent to amend Canada’s Energy Efficiency Regulations, 2016 to update energy efficiency and testing standards of refrigerators and refrigerator-freezers, freezers, dishwashers, clothes washers and clothes dryers</t>
  </si>
  <si>
    <t>CA-Vol.156,No.14(1405)</t>
  </si>
  <si>
    <t>Order 2022-66-01-02 Amending the Non-domestic Substances List</t>
  </si>
  <si>
    <t>CA-QC-OC885-2020</t>
  </si>
  <si>
    <t>CA-QC-MO2022-026</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</si>
  <si>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href="http://www2.publicationsduquebec.gouv.qc.ca/dynamicSearch/telecharge.php?type=1&amp;file=105655.pdf" target="_blank"&gt;here&lt;/a&gt;.</t>
  </si>
  <si>
    <t>CA-QC-OC651-2020</t>
  </si>
  <si>
    <t>CA-NB-SNB2022,c5</t>
  </si>
  <si>
    <t>An Act Respecting the Retail Sale of Cannabis</t>
  </si>
  <si>
    <t>CA-QC-MO2022-003</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</si>
  <si>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href="http://www2.publicationsduquebec.gouv.qc.ca/dynamicSearch/telecharge.php?type=1&amp;file=105659.pdf" target="_blank"&gt;here&lt;/a&gt;.</t>
  </si>
  <si>
    <t>CA-QC-MO2021-085</t>
  </si>
  <si>
    <t>CA-QC-MO2021-081</t>
  </si>
  <si>
    <t>CA-QC-MO2021-017</t>
  </si>
  <si>
    <t>CA-QC-MO2020-035</t>
  </si>
  <si>
    <t>Order number 2020-035 of the Minister of Health and Social Services dated 10 May 2020</t>
  </si>
  <si>
    <t>CA-QC-MO2020-020</t>
  </si>
  <si>
    <t>Order number 2020-020 by the Minister of Health and Social Services dated 10 April 2020</t>
  </si>
  <si>
    <t>CA-QC-MO2020-017</t>
  </si>
  <si>
    <t>Order number 2020-017 by the Minister of Health and Social Services dated 8 April 2020</t>
  </si>
  <si>
    <t>CA-QC-MO2020-015</t>
  </si>
  <si>
    <t>Order number 2020-015 by the Minister of Health and Social Services dated 4 April 2020</t>
  </si>
  <si>
    <t>CA-QC-OC1276-2021</t>
  </si>
  <si>
    <t>O.Reg.170/03</t>
  </si>
  <si>
    <t>Drinking Water Systems</t>
  </si>
  <si>
    <t>CA-ON-OReg269/22</t>
  </si>
  <si>
    <t>Amending O. Reg. 170/03 (Drinking Water Systems)</t>
  </si>
  <si>
    <t>A change to this document has been announced. The effect of this change is notably to (1) provide that certain persons who do not hold the relevant operator's licence may be considered an "emergency substitute operator" and may perform certain tasks for drinking water systems, including responding to equipment malfunction, system testing, and equipment maintenance, in certain emergency situations, and (2) clarify that the requirement that the operator of a municipal or regulated non-municipal drinking water system holds a valid operator's certificate does not apply to an emergency substitute operator. The first effective date of the document that makes the change is December 3, 2021. More information about the change, including any additional effective dates, is available &lt;a href="https://www.ontario.ca/laws/regulation/r21820" target="_blank"&gt;here&lt;/a&gt;.</t>
  </si>
  <si>
    <t>CA-ON-OReg267/22</t>
  </si>
  <si>
    <t>O.Reg.347/07</t>
  </si>
  <si>
    <t>Provincial Parks: General Provisions</t>
  </si>
  <si>
    <t>CA-ON-OReg270/22</t>
  </si>
  <si>
    <t>Amending O. Reg. 347/07 (Provincial Parks: General Provisions)</t>
  </si>
  <si>
    <t>NB.Reg.85-104</t>
  </si>
  <si>
    <t>General Regulation - Parks Act</t>
  </si>
  <si>
    <t>CA-NB-NBReg2022-19</t>
  </si>
  <si>
    <t>General Regulation - Parks Act 2022-03-24 Amendments</t>
  </si>
  <si>
    <t>A change to this document has been announced. The effect of this change is notably to modify (1) beach maintenance fees for Parlee Provincial Park, (2) fees for anchoring, launching or docking a boat in a provincial park, (3) entrance fees for Hopewell Rocks Provincial Park and Village Historique Acadien Provincial Park, (4) Daily and Monthly Camping, Seasonal Camping, and Vehicle Entry Permit fees in certain provincial parks, and (5) that vehicle entry permits are free for certain provincial parks on New Brunswick Day (August 1). The first effective date of the document that makes the change is April 1, 2022. More information about the change, including any additional effective dates, is available &lt;a href="https://www2.gnb.ca/content/dam/gnb/Departments/ag-pg/PDF/RegulationsReglements/2022/2022-19.pdf" target="_blank"&gt;here&lt;/a&gt;.</t>
  </si>
  <si>
    <t>CA-NB-SNB2022,c3</t>
  </si>
  <si>
    <t>An Act to Amend the Safer Communities and Neighbourhoods Act</t>
  </si>
  <si>
    <t>CA-NB-RSNB1973,cP-4</t>
  </si>
  <si>
    <t>Partnership Act</t>
  </si>
  <si>
    <t>CA-NB-SNB2022,c2</t>
  </si>
  <si>
    <t>An Act Respecting the Modernization of Legislation Governing Limited Liability Partnerships</t>
  </si>
  <si>
    <t>A change to this document has been announced. The first effective date of the document that makes the change is April 1, 2022. More information about the change, including any additional effective dates, is available &lt;a href="https://www2.gnb.ca/content/dam/gnb/Departments/ag-pg/PDF/ActsLois/2022/chapter-2.pdf" target="_blank"&gt;here&lt;/a&gt;.</t>
  </si>
  <si>
    <t>CA-NB-NBReg81-35</t>
  </si>
  <si>
    <t>Partnerships and Business Names Registration Regulation</t>
  </si>
  <si>
    <t>CA-NB-RSNB1973,cP-5</t>
  </si>
  <si>
    <t>Partnerships and Business Names Registration Act</t>
  </si>
  <si>
    <t>RSY2002,c76</t>
  </si>
  <si>
    <t>CA-YT-SY2022,c5</t>
  </si>
  <si>
    <t>Miscellaneous Statute Law Amendment Act, 2022</t>
  </si>
  <si>
    <t>SNWT2007,c17</t>
  </si>
  <si>
    <t>Public Health  Act</t>
  </si>
  <si>
    <t>CA-NT-SI-007-2022</t>
  </si>
  <si>
    <t>Proclamation of the Naturopathic Profession Statutes Amendment Act</t>
  </si>
  <si>
    <t>CA-ON-ERO-019-4967</t>
  </si>
  <si>
    <t>Municipal Wastewater and Stormwater Management in Ontario Discussion Paper</t>
  </si>
  <si>
    <t>CA-BC-BCReg73/2022</t>
  </si>
  <si>
    <t>Freedom of Information and Protection of Privacy Act 2022-03-28 Amendments</t>
  </si>
  <si>
    <t>AltaReg143/1996</t>
  </si>
  <si>
    <t>Gaming, Liquor and Cannabis Regulation</t>
  </si>
  <si>
    <t>CA-AB-AR35/2022</t>
  </si>
  <si>
    <t>Gaming, Liquor and Cannabis Amendment Regulation</t>
  </si>
  <si>
    <t>A change to this document has been announced. The first effective date of the document that makes the change is March 8, 2022. More information about the change, including any additional effective dates, is available &lt;a href="https://www.qp.alberta.ca/documents/gazette/2022/pdf/06_Mar31_Part2.pdf" target="_blank"&gt;here&lt;/a&gt;.</t>
  </si>
  <si>
    <t>CA-Vol.156,No.12(1211)</t>
  </si>
  <si>
    <t>Order 2022-87-02-02 Amending the Non-domestic Substances List</t>
  </si>
  <si>
    <t>CA-SOR/2022-51</t>
  </si>
  <si>
    <t>Order 2022-87-02-01 Amending the Domestic Substances List</t>
  </si>
  <si>
    <t>CA-ON-OReg222/22</t>
  </si>
  <si>
    <t>CA-ON-OReg177/20</t>
  </si>
  <si>
    <t>Congregate Care Settings</t>
  </si>
  <si>
    <t>CA-ON-OReg235/22</t>
  </si>
  <si>
    <t>This document has been repealed. The first effective date of the document that makes the change is March 28, 2022. More information about the change, including any additional effective dates, is available &lt;a href="https://www.ontario.ca/laws/regulation/r22235" target="_blank"&gt;here&lt;/a&gt;.</t>
  </si>
  <si>
    <t>CA-SOR/2022-49</t>
  </si>
  <si>
    <t>CA-SOR/2022-53</t>
  </si>
  <si>
    <t>CA-SOR/2022-52</t>
  </si>
  <si>
    <t>CA-SOR/2022-58</t>
  </si>
  <si>
    <t>CA-SOR/2022-56</t>
  </si>
  <si>
    <t>CA-MB-Procl-2022-03-23(2)</t>
  </si>
  <si>
    <t>Proclamation of The Regional Health Authorities Amendment Act (Health System Governance and Accountability), except s. 74 (enacting 79.2 and 79.3), 83, 91(1), (17)-(22), (23)(b)(d), 92, 98, 119, 127-133, 134(a)&amp;(b)</t>
  </si>
  <si>
    <t>CA-MB-Procl-2022-03-23(1)</t>
  </si>
  <si>
    <t>Proclamation of The Workers Compensation Amendment Act</t>
  </si>
  <si>
    <t>CA-YT-SY2019,c8Sch2</t>
  </si>
  <si>
    <t>Carbon Price Rebate General Regulation</t>
  </si>
  <si>
    <t>CA-YT-OIC2022/52</t>
  </si>
  <si>
    <t>Regulation to Amend the Carbon Price Rebate General Regulation (2022)</t>
  </si>
  <si>
    <t>CA-YT-MO2021/27</t>
  </si>
  <si>
    <t>Wildlife Adaptive Management (General) Order</t>
  </si>
  <si>
    <t>CA-YT-MO2022/26</t>
  </si>
  <si>
    <t>Wildlife Adaptive Management (General) Order (2022)</t>
  </si>
  <si>
    <t>This document is being replaced by Wildlife Adaptive Management (General) Order (2022) (CA-YT-MO2022/26), effective April 1, 2022. More information about the change, including any additional effective dates, is available &lt;a href="https://laws.yukon.ca/cms/images/LEGISLATION/SUBORDINATE/2022/2022-M026/2022-M026.pdf" target="_blank"&gt;here&lt;/a&gt;.</t>
  </si>
  <si>
    <t>CA-ON-Vol.155-13(1142)(1)</t>
  </si>
  <si>
    <t>Proclamation of the Better for People, Smarter for Business Act, 2019, Sched. 16, s. 10-12, 16</t>
  </si>
  <si>
    <t>RSO1990,cE.19</t>
  </si>
  <si>
    <t>CA-ON-Vol.155-13(1142)(2)</t>
  </si>
  <si>
    <t>Proclamation of the Better for People, Smarter for Business Act, 2019, Sched. 8, s. 3, 5, 9, 12, 14, 15(2)</t>
  </si>
  <si>
    <t>Provisions of an Act amending this document are coming into force July 1, 2022. The effect of this change is notably to provide that vehicles regulated under the Highway Traffic Act (RSO1990,cH.8) are exempt from the requirement of an environmental compliance approval for certain activities that may result in the discharge of contaminants into the environment (except for water), and repeal Part III - Motors and Motor Vehicles to replace it with reference to the Highway Traffic Act where necessary. More information about the change, including any additional effective dates, is available &lt;a href="https://www.ontario.ca/files/2022-03/OntarioGazette_155-13.pdf" target="_blank"&gt;here&lt;/a&gt;.</t>
  </si>
  <si>
    <t>CA-ON-Vol.155-13(1143)</t>
  </si>
  <si>
    <t>Proclamation of the Connecting People to Home and Community Care Act, 2020, Sched. 3, s. 4, 8</t>
  </si>
  <si>
    <t>CA-ON-Vol.155-13(1144)</t>
  </si>
  <si>
    <t>Proclamation of the Moving Ontarians More Safely Act, 2021, Sched. 1, s. 12</t>
  </si>
  <si>
    <t>RSO1990,cM.14</t>
  </si>
  <si>
    <t>CA-ON-Vol.155-13(1146)(1)</t>
  </si>
  <si>
    <t>Proclamation of the Supporting People and Businesses Act, 2021, Sched. 12, s. 2, 4(1)-(2), 5, 6, 9</t>
  </si>
  <si>
    <t>Provisions of an Act amending this document are coming into force April 1, 2022. The effect of this change is notably to (1) set out additional activities which may be considered "mine production" or "advanced exploration" to which certain rules apply, and (2) establish that a proponent must pay to the Crown any amounts received, directly or indirectly, from the sale of minerals or mineral-bearing substances that exceeds the cost of the related excavation, processing, transportation, testing, evaluation and rehabilitation. More information about the change, including any additional effective dates, is available &lt;a href="https://www.ontario.ca/files/2022-03/OntarioGazette_155-13.pdf" target="_blank"&gt;here&lt;/a&gt;.</t>
  </si>
  <si>
    <t>CA-ON-Vol.155-13(1146)(2)</t>
  </si>
  <si>
    <t>Proclamation of The People’s Health Care Act, 2019, Sched. 3, s. 6</t>
  </si>
  <si>
    <t>CA-SK-Prop2022-03-28</t>
  </si>
  <si>
    <t>Tackling Red Tape in Saskatchewan – Environmentally Impacted Sites Code Chapters</t>
  </si>
  <si>
    <t>CA-NL-NLR13/22</t>
  </si>
  <si>
    <t>Notice of Protected Water Supply Area of Steady Cove Pond, WS-S-0185, Municipality of Comfort Cove-Newstead</t>
  </si>
  <si>
    <t>CA-Vol.156,No.13(1387)</t>
  </si>
  <si>
    <t>Description of Dense-flowered Lupine and of Victoria’s Owl-clover critical habitat in the Victoria Harbour Bird Sanctuary</t>
  </si>
  <si>
    <t>CA-BillS-243(44-1)</t>
  </si>
  <si>
    <t>Bill S-243 - Enacting Climate Commitments Act</t>
  </si>
  <si>
    <t>NS.Reg.155/96</t>
  </si>
  <si>
    <t>CA-NS-NSReg42/2022</t>
  </si>
  <si>
    <t>Occupational Health and Safety First Aid Regulations–repeal</t>
  </si>
  <si>
    <t>This document is being repealed. The first effective date of the document that makes the change is March 15, 2022. More information about the change, including any additional effective dates, is available &lt;a href="https://novascotia.ca/just/regulations/rg2/2022/RG2-2022-03-25.pdf" target="_blank"&gt;here&lt;/a&gt;.</t>
  </si>
  <si>
    <t>NS.Reg.52/2013</t>
  </si>
  <si>
    <t>Workplace Health and Safety Regulations</t>
  </si>
  <si>
    <t>CA-NS-NSReg43/2022</t>
  </si>
  <si>
    <t>Workplace Health and Safety Regulations–amendment</t>
  </si>
  <si>
    <t>A change to this document has been announced. The effect of this change is notably to introduce provisions for first aid in the workplace. These provisions include requirements for (1) reporting workplace injuries, (2) maintenance of first aid supplies, (3) retention of records concerning workplace first aid certification, (4) the designation of "workplace first aiders", (5) the minimum number of workplace first aiders and first aid kits required in different workplace settings, (6) design and equipment requirements for first aid rooms, (7) isolated workplace first aid plans, and (8) the transportation of injured persons from the workplace. The first effective date of the document that makes the change is March 15, 2022. More information about the change, including any additional effective dates, is available &lt;a href="https://novascotia.ca/just/regulations/rg2/2022/RG2-2022-03-25.pdf" target="_blank"&gt;here&lt;/a&gt;.</t>
  </si>
  <si>
    <t>NS.Reg.174/2005</t>
  </si>
  <si>
    <t>Occupational Diving Regulations</t>
  </si>
  <si>
    <t>CA-NS-NSReg44/2022</t>
  </si>
  <si>
    <t>Occupational Diving Regulations–amendment</t>
  </si>
  <si>
    <t>A change to this document has been announced. The effect of this change is notably to introduce the term "intermediate workplace first aid certificate" as defined in the Workplace Health and Safety Regulations (NS.Reg.52/2013), and require that all members of a dive team hold a valid intermediate workplace first aid certificate before a dive is conducted at a dive site. The first effective date of the document that makes the change is March 15, 2022. More information about the change, including any additional effective dates, is available &lt;a href="https://novascotia.ca/just/regulations/rg2/2022/RG2-2022-03-25.pdf" target="_blank"&gt;here&lt;/a&gt;.</t>
  </si>
  <si>
    <t>CA-Vol.156,No.12(1222)</t>
  </si>
  <si>
    <t>Interim Order Respecting Certain Requirements for Civil Aviation Due to COVID-19, No. 56</t>
  </si>
  <si>
    <t>This document is being replaced by the Interim Order Respecting Certain Requirements for Civil Aviation Due to COVID-19, No. 57 (CA-Vol.156,No.13(1339)). The first effective date of the document that makes the change is March 11, 2022. More information about the change, including any additional effective dates, is available &lt;a href="https://canadagazetteducanada.gc.ca/rp-pr/p1/2022/2022-03-26/html/notice-avis-eng.html#na7" target="_blank"&gt;here&lt;/a&gt;.</t>
  </si>
  <si>
    <t>CA-QC-MO2020-19</t>
  </si>
  <si>
    <t>Regulation respecting the training of qualified drivers</t>
  </si>
  <si>
    <t>CA-QC-Vol.154,No.12D(835D)</t>
  </si>
  <si>
    <t>Regulation to amend the Regulation respecting the training of qualified drivers</t>
  </si>
  <si>
    <t>A change to this document has been announced. The first effective date of the document that makes the change is April 9, 2022. More information about the change, including any additional effective dates, is available &lt;a href="http://www2.publicationsduquebec.gouv.qc.ca/dynamicSearch/telecharge.php?type=1&amp;file=105633.pdf" target="_blank"&gt;here&lt;/a&gt;.</t>
  </si>
  <si>
    <t>CA-SOR/2018-227</t>
  </si>
  <si>
    <t>Trademarks Regulations</t>
  </si>
  <si>
    <t>CA-SOR/2022-44</t>
  </si>
  <si>
    <t>Regulations Amending Certain Department of Industry Regulations (Miscellaneous Program)</t>
  </si>
  <si>
    <t>A change to this document has been announced. The first effective date of the document that makes the change is March 4, 2022. More information about the change, including any additional effective dates, is available &lt;a href="https://canadagazetteducanada.gc.ca/rp-pr/p2/2022/2022-03-16/html/sor-dors44-eng.html" target="_blank"&gt;here&lt;/a&gt;.</t>
  </si>
  <si>
    <t>CA-SOR/2018-120</t>
  </si>
  <si>
    <t>Industrial Design Regulations</t>
  </si>
  <si>
    <t>CA-SOR/2011-223</t>
  </si>
  <si>
    <t>Canada Not-for-profit Corporations Regulations</t>
  </si>
  <si>
    <t>CA-SOR/2022-40</t>
  </si>
  <si>
    <t>Regulations Amending Certain Regulations Administered by the Department of Industry</t>
  </si>
  <si>
    <t>A change to this document has been announced. The first effective date of the document that makes the change is August 31, 2022. More information about the change, including any additional effective dates, is available &lt;a href="https://canadagazetteducanada.gc.ca/rp-pr/p2/2022/2022-03-16/html/sor-dors40-eng.html" target="_blank"&gt;here&lt;/a&gt;.</t>
  </si>
  <si>
    <t>CA-SOR/99-256</t>
  </si>
  <si>
    <t>Canada Cooperatives Regulations</t>
  </si>
  <si>
    <t>CA-SOR/2001-512</t>
  </si>
  <si>
    <t>Canada Business Corporations Regulations, 2001</t>
  </si>
  <si>
    <t>CA-SOR/2022-27</t>
  </si>
  <si>
    <t>CA-SOR/2022-31</t>
  </si>
  <si>
    <t>CA-SOR/2022-29</t>
  </si>
  <si>
    <t>CA-SOR/2022-46</t>
  </si>
  <si>
    <t>CA-SOR/2022-32</t>
  </si>
  <si>
    <t>CA-SOR/2022-48</t>
  </si>
  <si>
    <t>CA-SOR/2022-47</t>
  </si>
  <si>
    <t>CA-SOR/2022-28</t>
  </si>
  <si>
    <t>CA-SOR/2022-30</t>
  </si>
  <si>
    <t>CA-SOR/2022-37</t>
  </si>
  <si>
    <t>CA-SOR/2022-39</t>
  </si>
  <si>
    <t>Regulations Amending the Immigration and Refugee Protection Regulations (Excessive Demand)</t>
  </si>
  <si>
    <t>CA-NB-NBReg2004-140</t>
  </si>
  <si>
    <t>Recently Licensed Driver Rate Reduction Regulation</t>
  </si>
  <si>
    <t>CA-NB-NBReg2022-12</t>
  </si>
  <si>
    <t>Recently Licensed Driver Rate Reduction Regulation 2022-03-16 Amendments</t>
  </si>
  <si>
    <t>CA-SOR/2022-42</t>
  </si>
  <si>
    <t>Regulations Amending the Income Tax Regulations (Enhanced CPP Contributions)</t>
  </si>
  <si>
    <t>CA-CAN/CSA-C22.1:21</t>
  </si>
  <si>
    <t>CAN/CSA-C22.1:21 - Canadian Electrical Code, Part I (25th Edition), Safety Standard for Electrical Installations</t>
  </si>
  <si>
    <t>CA-CAN/CSA-C22.1:21(2021-03-01)</t>
  </si>
  <si>
    <t>CAN/CSA-C22.1:21 - Canadian Electrical Code, Part I (25th Edition), Safety Standard for Electrical Installations 2021-03-01 Amendments</t>
  </si>
  <si>
    <t>A change to this document has been announced. The effect of this change is notably to revise (1) certain requirements for conduit explosion seals, Type CIC cables, (2) the definition of "essential electrical system", (3) the maximum rating or setting of an overcurrent device protecting transformer arc welders and inverter welders, (4) the calculation method for the load of services and feeders, and (5) the acceptable maximum distance between conduit explosions and enclosures. The first effective date of the document that makes the change is September 1, 2021. The latest version of the text is available &lt;a href="https://www.csagroup.org/store/product/CSA%20C22.1%3A21/" target="_blank"&gt;here&lt;/a&gt; to those with permission to access the content.</t>
  </si>
  <si>
    <t>CA-CAN/CSA-C22.1:21(2021-09-01)</t>
  </si>
  <si>
    <t>CAN/CSA-C22.1:21 - Canadian Electrical Code, Part I (25th Edition), Safety Standard for Electrical Installations 2021-09-01 Amendments</t>
  </si>
  <si>
    <t>NLR.39/04</t>
  </si>
  <si>
    <t>Air Pollution Control Regulations, 2004</t>
  </si>
  <si>
    <t>This document is being replaced by Air Pollution Control Regulations, 2022 (CA-NL-NLR11/22), effective March 25, 2022. More information about the change, including any additional effective dates, is available &lt;a href="https://www.assembly.nl.ca/legislation/sr/annualregs/2022/nr220011.htm" target="_blank"&gt;here&lt;/a&gt;.</t>
  </si>
  <si>
    <t>RSQ,cA-18.1</t>
  </si>
  <si>
    <t>Sustainable Forest Development Act</t>
  </si>
  <si>
    <t>CA-QC-SQ2022,c3</t>
  </si>
  <si>
    <t>An Act respecting the implementation of certain provisions of the Budget Speech of 25 March 2021 and amending other provisions</t>
  </si>
  <si>
    <t>CA-QC-OC240-2022</t>
  </si>
  <si>
    <t>Act to amend the Civil Code, the Code of Civil Procedure, the Public Curator Act and various provisions as regards the protection of persons (2020, chapter 11) —Coming into force of certain provisions</t>
  </si>
  <si>
    <t>CA-QC-IN(R)2022-03-25</t>
  </si>
  <si>
    <t>Information Note (Regulations) 2022-03-25</t>
  </si>
  <si>
    <t>CA-NB-NBReg2019-2</t>
  </si>
  <si>
    <t>Minimum Wage</t>
  </si>
  <si>
    <t>CA-NB-NBReg2022-15</t>
  </si>
  <si>
    <t>Minimum Wage Regulation – Employment Standards Act</t>
  </si>
  <si>
    <t>This document is being replaced by Minimum Wage Regulation – Employment Standards Act (CA-NB-NBReg2022-15), effective April 1, 2022. More information about the change is available &lt;a href="https://www2.gnb.ca/content/dam/gnb/Departments/ag-pg/PDF/RegulationsReglements/2022/2022-15.pdf" target="_blank"&gt;here&lt;/a&gt;.</t>
  </si>
  <si>
    <t>CA-QC-MO2021-054</t>
  </si>
  <si>
    <t>CA-QC-MO2022-22</t>
  </si>
  <si>
    <t>This document has been revoked.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href="http://www2.publicationsduquebec.gouv.qc.ca/dynamicSearch/telecharge.php?type=1&amp;file=105611.pdf" target="_blank"&gt;here&lt;/a&gt;.</t>
  </si>
  <si>
    <t>CA-ON-Bill88(42-2)</t>
  </si>
  <si>
    <t>Bill 88, Working for Workers Act, 2022</t>
  </si>
  <si>
    <t>CA-Vol.156,No.12(1212)</t>
  </si>
  <si>
    <t>Publication after screening assessment of 14 substances of the Esters Group specified on the Domestic Substances List (paragraphs 68(b) and (c) or subsection 77(1) of the Canadian Environmental Protection Act, 1999)</t>
  </si>
  <si>
    <t>RRQ,cE-22,r1</t>
  </si>
  <si>
    <t>Regulation under the Act respecting explosives</t>
  </si>
  <si>
    <t>CA-QC-Vol.154,No.12(223)</t>
  </si>
  <si>
    <t>Fees for the Issuance and Renewal of Explosives Licences (Notice of Indexation on April 1, 2022)</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</si>
  <si>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href="http://www2.publicationsduquebec.gouv.qc.ca/dynamicSearch/telecharge.php?type=4&amp;file=2212.PDF" target="_blank"&gt;here&lt;/a&gt;.</t>
  </si>
  <si>
    <t>CA-Vol.156,No.12(1220)</t>
  </si>
  <si>
    <t>Guidelines for Canadian drinking water quality — 4-Chloro-2-methylphenoxyacetic acid</t>
  </si>
  <si>
    <t>CA-ON-OReg217/22</t>
  </si>
  <si>
    <t>CA-Vol.156,No.11(972)</t>
  </si>
  <si>
    <t>Interim Order Respecting Certain Requirements for Civil Aviation Due to COVID-19, No. 55</t>
  </si>
  <si>
    <t>This document is being replaced by the Interim Order Respecting Certain Requirements for Civil Aviation Due to COVID-19, No. 56 (CA-Vol.156,No.12(1222)). The effect of this change is notably to (1) permit the use of antigen tests for COVID-19 travel testing requirements, (2) revise the definition of "COVID-19 molecular test" to include conditions for self-administered tests to be considered valid, and (3) require certain additional information be provided with COVID-19 antigen and molecular test results for travellers. The first effective date of the document that makes the change is February 28, 2022. More information about the change, including any additional effective dates, is available &lt;a href="https://canadagazetteducanada.gc.ca/rp-pr/p1/2022/2022-03-19/html/notice-avis-eng.html#nl4" target="_blank"&gt;here&lt;/a&gt;.</t>
  </si>
  <si>
    <t>CA-BC-BCReg63/2022</t>
  </si>
  <si>
    <t>Employment Standards Regulation 2022-03-14 Amendments</t>
  </si>
  <si>
    <t>CA-BC-SBC2022,c2</t>
  </si>
  <si>
    <t>Protected Areas of British Columbia Amendment Act, 2022</t>
  </si>
  <si>
    <t>CA-BC-SBC2022,c4</t>
  </si>
  <si>
    <t>Skilled Trades BC Act</t>
  </si>
  <si>
    <t>CA-BC-SBC2022,c3</t>
  </si>
  <si>
    <t>Workers Compensation Amendment Act, 2022</t>
  </si>
  <si>
    <t>CA-MB-Bill9(42-4)</t>
  </si>
  <si>
    <t>Bill 9 - The Scrap Metal Act</t>
  </si>
  <si>
    <t>CA-ON-OReg196/22</t>
  </si>
  <si>
    <t>CA-ON-OReg202/22</t>
  </si>
  <si>
    <t>CA-ON-OReg199/22</t>
  </si>
  <si>
    <t>CA-ON-OReg213/22</t>
  </si>
  <si>
    <t>Amending O. Reg. 364/20 (Rules for Areas at Step 3 and at the Roadmap Exit Step)</t>
  </si>
  <si>
    <t>O.Reg.525/98</t>
  </si>
  <si>
    <t>Approval Exemptions</t>
  </si>
  <si>
    <t>CA-ON-OReg214/22</t>
  </si>
  <si>
    <t>Amending O. Reg. 525/98 (Approval Exemptions)</t>
  </si>
  <si>
    <t>A change to this document has been announced. The effect of this change is notably to introduce certain exemptions from environmental compliance approval requirements for (1) storm water management facilities located on land used for residential purposes; (2) sewage works to collect, treat, and dispose of ground water and storm water from the foundation of a building, or from a construction site; and (3) sewage works that are used to control quagga and zebra mussels with ultraviolet light. The first effective date of the document that makes the change is July 1, 2022. More information about the change, including any additional effective dates, is available &lt;a href="https://www.ontario.ca/laws/regulation/r22214" target="_blank"&gt;here&lt;/a&gt;.</t>
  </si>
  <si>
    <t>CA-SOR/2022-41</t>
  </si>
  <si>
    <t>Regulations Amending Certain Regulations Made Under the Canada Labour Code</t>
  </si>
  <si>
    <t>CA-ON-RRO1990,Reg606</t>
  </si>
  <si>
    <t>Portable Lane Control Signal Systems</t>
  </si>
  <si>
    <t>CA-ON-OReg185/22</t>
  </si>
  <si>
    <t>Portable Traffic Control Systems</t>
  </si>
  <si>
    <t>This document is being repealed. The first effective date of the document that makes the change is April 1, 2022. More information about the change is available &lt;a href="https://www.ontario.ca/laws/regulation/r22185" target="_blank"&gt;here&lt;/a&gt;.</t>
  </si>
  <si>
    <t>CA-AB-SA2021,cT-6.2</t>
  </si>
  <si>
    <t>Trails Act</t>
  </si>
  <si>
    <t>CA-AB-Vol.118,No.5(159)</t>
  </si>
  <si>
    <t>Proclamation of the Trails Act</t>
  </si>
  <si>
    <t>This Act is coming into force February 23, 2022. More information about the change, including any additional effective dates, is available &lt;a href="https://www.qp.alberta.ca/documents/gazette/2022/pdf/05_Mar15_Part1.pdf" target="_blank"&gt;here&lt;/a&gt;.</t>
  </si>
  <si>
    <t>AltaReg227/2003</t>
  </si>
  <si>
    <t>Exploration Dispute Resolution Regulation</t>
  </si>
  <si>
    <t>CA-AB-AR16/2022</t>
  </si>
  <si>
    <t>Exploration Dispute Resolution (Expiry Date Extension) Amendment Regulation</t>
  </si>
  <si>
    <t>CA-AB-AR15/2022</t>
  </si>
  <si>
    <t>Public Lands Administration (Recreation) Amendment Regulation</t>
  </si>
  <si>
    <t>CA-AB-AR14/2022</t>
  </si>
  <si>
    <t>CA-AB-AR24/2022</t>
  </si>
  <si>
    <t>Drivers’ Hours of Service (Expiry Date Extension) Amendment Regulation</t>
  </si>
  <si>
    <t>CA-AB-AR25/2022</t>
  </si>
  <si>
    <t>Commercial Vehicle Certificate And Insurance Amendment Regulation</t>
  </si>
  <si>
    <t>RSA2000,cL-4</t>
  </si>
  <si>
    <t>Land Titles Act</t>
  </si>
  <si>
    <t>CA-AB-Vol.118,No.5(162)</t>
  </si>
  <si>
    <t>Proclamation of the Builders’ Lien (Prompt Payment) Amendment Act, 2020</t>
  </si>
  <si>
    <t>Provisions of an Act amending this document are coming into force on August 29, 2022. More information about the change, including any additional effective dates, is available &lt;a href="https://www.qp.alberta.ca/documents/gazette/2022/pdf/05_Mar15_Part1.pdf" target="_blank"&gt;here&lt;/a&gt; and &lt;a href="https://www.qp.alberta.ca/Documents/AnnualVolumes/2020/ch30_2020.pdf" target="_blank"&gt;here&lt;/a&gt;.</t>
  </si>
  <si>
    <t>RSA2000,cM-17</t>
  </si>
  <si>
    <t>Mines and Minerals Act</t>
  </si>
  <si>
    <t>CA-ON-OReg169/22</t>
  </si>
  <si>
    <t>Vehicle Emissions</t>
  </si>
  <si>
    <t>CA-Vol.156,No.11(946)</t>
  </si>
  <si>
    <t>Publication after screening assessment of 21 substances of the Alcohols Group specified on the Domestic Substances List (paragraphs 68(b) and (c) or subsection 77(1) of the Canadian Environmental Protection Act, 1999)</t>
  </si>
  <si>
    <t>CA-Vol.156,No.9(807)</t>
  </si>
  <si>
    <t>Interim Order Respecting Certain Requirements for Civil Aviation Due to COVID-19, No. 54</t>
  </si>
  <si>
    <t>This document is being replaced by the Interim Order Respecting Certain Requirements for Civil Aviation Due to COVID-19, No. 55 (CA-Vol.156,No.11(972)). The first effective date of the document that makes the change is February 23, 2022. More information about the change, including any additional effective dates, is available &lt;a href="https://canadagazetteducanada.gc.ca/rp-pr/p1/2022/2022-03-12/html/notice-avis-eng.html#nc2" target="_blank"&gt;here&lt;/a&gt;.</t>
  </si>
  <si>
    <t>CQLR,cA-18.1,r5.1</t>
  </si>
  <si>
    <t>Regulation respecting the scaling of timber harvested in forests in the domain of the State</t>
  </si>
  <si>
    <t>CA-QC-Vol.154,No.11(181)</t>
  </si>
  <si>
    <t>Fees for lost scaling, inventory and transport forms for lost scaling, inventory and transportation of wood (Indexation Notice)</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</si>
  <si>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href="http://www2.publicationsduquebec.gouv.qc.ca/dynamicSearch/telecharge.php?type=4&amp;file=2211.PDF" target="_blank"&gt;here&lt;/a&gt;.</t>
  </si>
  <si>
    <t>CA-QC-CQLRcT-8.1,r7</t>
  </si>
  <si>
    <t>Regulation respecting the sale, lease and granting of immovable rights on lands in the domain of the State</t>
  </si>
  <si>
    <t>CA-QC-Vol.154,No.11(183)</t>
  </si>
  <si>
    <t>Regulation respecting the sale, lease and granting of immovable rights on lands in the domain of the State (Indexation Notice)</t>
  </si>
  <si>
    <t>A change to this document has been announced. This change is part of a series of amendments that revise various charges contained in the document, in accordance with the method prescribed by law, on 1 April 2022. More information about the change, including any additional effective dates, is available &lt;a href="http://www2.publicationsduquebec.gouv.qc.ca/dynamicSearch/telecharge.php?type=4&amp;file=2211.PDF" target="_blank"&gt;here&lt;/a&gt;.</t>
  </si>
  <si>
    <t>CA-QC-Vol.154,No.11(188)</t>
  </si>
  <si>
    <t>Regulation respecting forestry permits (Indexation Notice)</t>
  </si>
  <si>
    <t>CA-ON-Vol.155-11(739)(1)</t>
  </si>
  <si>
    <t>Proclamation of the Protect, Support and Recover from COVID-19 Act (Budget Measures), 2020, Sched. 7, s. 1-146, 148-284, 285(1) except para. 45, 285 (2)-(6), 286-339</t>
  </si>
  <si>
    <t>SO1998,c15,SchB</t>
  </si>
  <si>
    <t>Ontario Energy Board Act, 1998</t>
  </si>
  <si>
    <t>Provisions of an Act amending this document are coming into force on January 1, 2022. The effect of this change is notably to add a new section governing the prescribed uses of and and access to electricity infrastructure for purposes other than the generation, transmission, distribution, consumption, sale, or demand management of electricity by certain prescribed persons. More information about the change, including any additional effective dates, is available &lt;a href="https://files.ontario.ca/books/ontariogazette_155-01.pdf" target="_blank"&gt;here&lt;/a&gt;.</t>
  </si>
  <si>
    <t>CA-ON-Vol.155-11(738)</t>
  </si>
  <si>
    <t>Proclamation of the Plan to Build Ontario Together Act, 2019, Sched. 18, s. 2</t>
  </si>
  <si>
    <t>CA-ON-OReg263/20</t>
  </si>
  <si>
    <t>Rules for Areas in Step 2</t>
  </si>
  <si>
    <t>CA-ON-OReg168/22</t>
  </si>
  <si>
    <t>This document is being repealed. The first effective date of the document that makes the change is March 16, 2022. More information about the change, including any additional effective dates, is available &lt;a href="https://www.ontario.ca/laws/regulation/r22168" target="_blank"&gt;here&lt;/a&gt;.</t>
  </si>
  <si>
    <t>CA-ON-OReg82/20</t>
  </si>
  <si>
    <t>Rules for Areas in Shutdown Zone and at Step 1</t>
  </si>
  <si>
    <t>CA-ON-SO2017,c26,Sch1</t>
  </si>
  <si>
    <t>Cannabis Control Act, 2017</t>
  </si>
  <si>
    <t>CA-ON-Vol.155-11(739)(2)</t>
  </si>
  <si>
    <t>Proclamation of the Supporting People and Businesses Act, 2021, Sched. 2, s. 13(1)-(2)</t>
  </si>
  <si>
    <t>CA-ON-OReg172/22</t>
  </si>
  <si>
    <t>OReg316/03</t>
  </si>
  <si>
    <t>Operation of Off-road Vehicles on Highways</t>
  </si>
  <si>
    <t>CA-ON-OReg176/22</t>
  </si>
  <si>
    <t>Amending O. Reg. 316/03 (Operation of Off-road Vehicles on Highways)</t>
  </si>
  <si>
    <t>A change to this document has been announced. The first effective date of the document that makes the change is January 1, 2024. More information about the change, including any additional effective dates, is available &lt;a href="https://www.ontario.ca/laws/regulation/r22176" target="_blank"&gt;here&lt;/a&gt;.</t>
  </si>
  <si>
    <t>CA-ON-OReg184/22</t>
  </si>
  <si>
    <t>CA-ON-OReg457/19</t>
  </si>
  <si>
    <t>CA-ON-OReg183/22</t>
  </si>
  <si>
    <t>Amending O. Reg. 457/19 (Vehicle Emissions)</t>
  </si>
  <si>
    <t>A change to this document has been announced. The effect of this change is notably to provide the maximum acceptable opacity percentage for a vehicle's emissions in the criteria for issuing a vehicle emissions report indicating a pass. The first effective date of the document that makes the change is March 11, 2022. More information about the change, including any additional effective dates, is available &lt;a href="https://www.ontario.ca/laws/regulation/r22183" target="_blank"&gt;here&lt;/a&gt;.</t>
  </si>
  <si>
    <t>CA-ON-OReg182/22</t>
  </si>
  <si>
    <t>CA-ON-OReg174/22</t>
  </si>
  <si>
    <t>Classes of Vehicles Requiring Annual and Semi-Annual Inspections</t>
  </si>
  <si>
    <t>NSReg95/99</t>
  </si>
  <si>
    <t>Electrical Code Regulations</t>
  </si>
  <si>
    <t>CA-NS-NSReg31/2022</t>
  </si>
  <si>
    <t>Electrical Code Regulations–amendment</t>
  </si>
  <si>
    <t>A change to this document has been announced. The effect of this change is notably to (1) incorporate by reference the updated industry standard concerning electrical safety (&lt;a href="https://www.csagroup.org/store/product/C22.1-18/" target="_blank"&gt;Canadian Electrical Code, Part I (24th edition), Safety Standard for Electrical Installations (CAN/CSA-C22.1-18)&lt;/a&gt;), and (2) replace references to "communications cabling specialist” with "communications technician" or "communications electrician" as it concerns parties permitted to conduct certain works. The first effective date of the document that makes the change is March 1, 2022. More information about the change, including any additional effective dates, is available &lt;a href="https://novascotia.ca/just/regulations/rg2/2022/RG2-2022-03-11.pdf" target="_blank"&gt;here&lt;/a&gt;.</t>
  </si>
  <si>
    <t>CA-BC-BCReg54/2022</t>
  </si>
  <si>
    <t>Spotted Owl Designated Area No. 2</t>
  </si>
  <si>
    <t>CA-ON-ORR-22-MTO013</t>
  </si>
  <si>
    <t>Towing and Storage Safety and Enforcement Act (TSSEA) Regulations</t>
  </si>
  <si>
    <t>CA-QC-Vol.154,No.10(746)</t>
  </si>
  <si>
    <t>Safety Code for the construction industry—Amendment</t>
  </si>
  <si>
    <t>CA-QC-Vol.154,No.10(734)</t>
  </si>
  <si>
    <t>Occupational health and safety—Amendment</t>
  </si>
  <si>
    <t>CA-QC-Vol.154,No.10(738)</t>
  </si>
  <si>
    <t>CA-ON-SO2022,c2</t>
  </si>
  <si>
    <t>Fewer Fees, Better Services Act, 2022</t>
  </si>
  <si>
    <t>CA-QC-CQLRcA-18.1,r0.01</t>
  </si>
  <si>
    <t>Regulation respecting the sustainable development of forests in the domain of the State</t>
  </si>
  <si>
    <t>CA-QC-OC198-2022</t>
  </si>
  <si>
    <t>Regulation respecting certain transitional measures of the Act to amend the Natural Heritage Conservation Act and other provisions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</si>
  <si>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href="http://www2.publicationsduquebec.gouv.qc.ca/dynamicSearch/telecharge.php?type=1&amp;file=105562.pdf" target="_blank"&gt;here&lt;/a&gt;.</t>
  </si>
  <si>
    <t>CA-NB-NBReg2021-67</t>
  </si>
  <si>
    <t>COVID-19 Preventative Measures Regulation – Public Health Act</t>
  </si>
  <si>
    <t>CA-NB-NBReg2022-9</t>
  </si>
  <si>
    <t>COVID-19 Preventative Measures Regulation – Public Health Act 2022-02-25 Amendments</t>
  </si>
  <si>
    <t>This document is being repealed. The first effective date of the document that makes the change is March 14, 2022. More information about the change, including any additional effective dates, is available &lt;a href="https://www2.gnb.ca/content/dam/gnb/Departments/ag-pg/PDF/RegulationsReglements/2022/2022-9.pdf" target="_blank"&gt;here&lt;/a&gt;.</t>
  </si>
  <si>
    <t>CA-Vol.156,No.10(884)</t>
  </si>
  <si>
    <t>Guidelines for Canadian drinking water quality for bromoxynil</t>
  </si>
  <si>
    <t>BCReg5/97</t>
  </si>
  <si>
    <t>Weld Repair of Aluminum Alloy Wheels Regulation</t>
  </si>
  <si>
    <t>CA-BC-BCReg51/2022</t>
  </si>
  <si>
    <t>Provincial Public Undertakings Regulation; Weld Repair of Aluminum Alloy Wheels Regulation 2022-03-01 Amendments</t>
  </si>
  <si>
    <t>BCReg513/2004</t>
  </si>
  <si>
    <t>Provincial Public Undertakings Regulation</t>
  </si>
  <si>
    <t>CA-ON-RRO1990,Reg872</t>
  </si>
  <si>
    <t>Conduct of Business</t>
  </si>
  <si>
    <t>CA-ON-OReg147/22</t>
  </si>
  <si>
    <t>This document is being replaced by Conduct of Business (CA-ON-OReg147/22). The first effective date of the document that makes the change is March 2, 2022. More information about the change is available &lt;a href="https://www.ontario.ca/laws/regulation/r22147" target="_blank"&gt;here&lt;/a&gt;.</t>
  </si>
  <si>
    <t>CA-QC-OC885-2021</t>
  </si>
  <si>
    <t>CA-QC-MO2022-019</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</si>
  <si>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href="http://www2.publicationsduquebec.gouv.qc.ca/dynamicSearch/telecharge.php?type=1&amp;file=105571.pdf" target="_blank"&gt;here&lt;/a&gt;.</t>
  </si>
  <si>
    <t>CA-NT-R-015-2020</t>
  </si>
  <si>
    <t>Tobacco and Vapour Products Control Regulations</t>
  </si>
  <si>
    <t>CA-NT-R-010-2022</t>
  </si>
  <si>
    <t>Tobacco and Vapour Products Control Regulations, amendment</t>
  </si>
  <si>
    <t>A change to this document has been announced. The first effective date of the document that makes the change is March 25, 2022. More information about the change, including any additional effective dates, is available &lt;a href="https://www.justice.gov.nt.ca/en/files/northwest-territories-gazette/2022/02_2.pdf" target="_blank"&gt;here&lt;/a&gt;.</t>
  </si>
  <si>
    <t>CA-NT-R-032-2021</t>
  </si>
  <si>
    <t>COVID-19 Emergency Leave Regulations</t>
  </si>
  <si>
    <t>CA-NT-R-008-2022</t>
  </si>
  <si>
    <t>COVID-19 Emergency Leave Regulations, amendment</t>
  </si>
  <si>
    <t>A change to this document has been announced. The first effective date of the document that makes the change is February 1, 2022. More information about the change, including any additional effective dates, is available &lt;a href="https://www.justice.gov.nt.ca/en/files/northwest-territories-gazette/2022/02_2.pdf" target="_blank"&gt;here&lt;/a&gt;.</t>
  </si>
  <si>
    <t>CA-NB-NBReg2022-10</t>
  </si>
  <si>
    <t>CA-QC-MO-2022-001</t>
  </si>
  <si>
    <t>The establishment of four experimental experimental forests</t>
  </si>
  <si>
    <t>CA-QC-MO-2022-002</t>
  </si>
  <si>
    <t>The establishment of eight experimental experimental forests</t>
  </si>
  <si>
    <t>OReg670/98</t>
  </si>
  <si>
    <t>Open Seasons - Wildlife</t>
  </si>
  <si>
    <t>CA-ON-OReg81/22</t>
  </si>
  <si>
    <t>Amending O. Reg. 670/98 (Open Seasons - Wildlife)</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</si>
  <si>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href="https://www.ontario.ca/laws/regulation/r22081" target="_blank"&gt;here&lt;/a&gt;.</t>
  </si>
  <si>
    <t>O.Reg.43/96</t>
  </si>
  <si>
    <t>Surveys, Plans and Descriptions of Land</t>
  </si>
  <si>
    <t>CA-ON-OReg79/22</t>
  </si>
  <si>
    <t>Amending O. Reg. 43/96 (Surveys, Plans and Descriptions of Land)</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</si>
  <si>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href="https://www.ontario.ca/laws/regulation/r22079" target="_blank"&gt;here&lt;/a&gt;.</t>
  </si>
  <si>
    <t>CA-ON-Vol.155-09(599)</t>
  </si>
  <si>
    <t>Proclamation of Working for Workers Act, 2021, Sched. 5, s. 1</t>
  </si>
  <si>
    <t>CA-ON-OReg83/22</t>
  </si>
  <si>
    <t>RRO1990,Reg543</t>
  </si>
  <si>
    <t>X-Ray Safety Code</t>
  </si>
  <si>
    <t>CA-ON-OReg87/22</t>
  </si>
  <si>
    <t>Amending Reg. 543 of R.R.O. 1990 (X-Ray Safety Code)</t>
  </si>
  <si>
    <t>A change to this document has been announced. The effect of this change is notably to (1) provide an alternative standard with which x-ray machine installations' protective barriers may comply (the &lt;a href="https://ncrponline.org/shop/reports/report-no-147-structural-shielding-design-for-medical-x-ray-imaging-facilities-2004/" target="_blank"&gt;CRP Report No. 147—Structural Shielding Design for Medical X-Ray Imaging Facilities, revised on March 18, 2005 and published by the U.S. National Council on Radiation Protection and Measurements&lt;/a&gt;), and (2) provide that windows, doors or other openings in a barrier must be constructed in compliance with the shielding standards. The first effective date of the document that makes the change is February 25, 2022. More information about the change, including any additional effective dates, is available &lt;a href="https://www.ontario.ca/laws/regulation/r22087" target="_blank"&gt;here&lt;/a&gt;.</t>
  </si>
  <si>
    <t>SOR/96-433</t>
  </si>
  <si>
    <t>Canadian Aviation Regulations, 2012</t>
  </si>
  <si>
    <t>CA-SOR/2022-17</t>
  </si>
  <si>
    <t>Regulations Amending the Canadian Aviation Regulations (Training Programs)</t>
  </si>
  <si>
    <t>A change to this document has been announced. The effect of this change is notably to provide that if the Minister determines that an operator's training program does not include the competencies required for employees to perform their assigned duties, the operator is required to submit an amended training plan by a date to be specified by the Minister. The first effective date of the document that makes the change is February 11, 2022. More information about the change, including any additional effective dates, is available &lt;a href="https://canadagazetteducanada.gc.ca/rp-pr/p2/2022/2022-03-02/html/sor-dors17-eng.html" target="_blank"&gt;here&lt;/a&gt;.</t>
  </si>
  <si>
    <t>CA-SOR/2022-24</t>
  </si>
  <si>
    <t>CA-SOR/2022-23</t>
  </si>
  <si>
    <t>CA-CRC,c1435</t>
  </si>
  <si>
    <t>Large Fishing Vessel Inspection Regulations</t>
  </si>
  <si>
    <t>CA-SOR/2022-25</t>
  </si>
  <si>
    <t>Regulations Amending the Large Fishing Vessel Inspection Regulations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</si>
  <si>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href="https://canadagazetteducanada.gc.ca/rp-pr/p2/2022/2022-03-02/html/sor-dors25-eng.html" target="_blank"&gt;here&lt;/a&gt;.</t>
  </si>
  <si>
    <t>CA-ON-OReg99/22</t>
  </si>
  <si>
    <t>O.Reg.181/03</t>
  </si>
  <si>
    <t>Municipal Tax Sales Rules</t>
  </si>
  <si>
    <t>CA-ON-OReg98/22</t>
  </si>
  <si>
    <t>Amending O. Reg. 181/03 (Municipal Tax Sales Rules)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</si>
  <si>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href="https://www.ontario.ca/laws/regulation/r22098" target="_blank"&gt;here&lt;/a&gt;.</t>
  </si>
  <si>
    <t>CA-ON-OReg100/22</t>
  </si>
  <si>
    <t>Amending O. Reg. 363/20 (Steps of Reopening)</t>
  </si>
  <si>
    <t>O.Reg.280/14</t>
  </si>
  <si>
    <t>IESO: Eligible Investments and Borrowing</t>
  </si>
  <si>
    <t>CA-ON-OReg116/22</t>
  </si>
  <si>
    <t>Amending O. Reg. 280/14 (IESO: Eligible Investments and Borrowing)</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</si>
  <si>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href="https://www.ontario.ca/laws/regulation/r22116" target="_blank"&gt;here&lt;/a&gt;.</t>
  </si>
  <si>
    <t>O.Reg.512/97</t>
  </si>
  <si>
    <t>Critical Defects of Commercial Motor Vehicles</t>
  </si>
  <si>
    <t>CA-ON-OReg142/22</t>
  </si>
  <si>
    <t>Amending O. Reg. 512/97 (Critical Defects of Commercial Motor Vehicles)</t>
  </si>
  <si>
    <t>CA-SOR/2022-18</t>
  </si>
  <si>
    <t>Clinical Trials for Medical Devices and Drugs Relating to COVID-19 Regulations</t>
  </si>
  <si>
    <t>CA-SOR/2017-165</t>
  </si>
  <si>
    <t>Certificate of Supplementary Protection Regulations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</si>
  <si>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href="https://canadagazetteducanada.gc.ca/rp-pr/p2/2022/2022-03-02/html/sor-dors18-eng.html" target="_blank"&gt;here&lt;/a&gt;.</t>
  </si>
  <si>
    <t>CA-Vol.156,No.5(365)</t>
  </si>
  <si>
    <t>Interim Order Respecting Certain Requirements for Civil Aviation Due to COVID-19, No. 52</t>
  </si>
  <si>
    <t>CA-Vol.156,No.9(762)</t>
  </si>
  <si>
    <t>Interim Order Respecting Certain Requirements for Civil Aviation Due to COVID-19, No. 53</t>
  </si>
  <si>
    <t>This document is being replaced by the Interim Order Respecting Certain Requirements for Civil Aviation Due to COVID-19, No. 53 (CA-Vol.156,No.9(762)). The first effective date of the document that makes the change is January 28, 2022. More information about the change, including any additional effective dates, is available &lt;a href="https://canadagazetteducanada.gc.ca/rp-pr/p1/2022/2022-02-26/html/notice-avis-eng.html#na8" target="_blank"&gt;here&lt;/a&gt;.</t>
  </si>
  <si>
    <t>CA-RSC,1985,c28(1stSupp)</t>
  </si>
  <si>
    <t>Investment Canada Act</t>
  </si>
  <si>
    <t>CA-Vol.156,No.9(761)</t>
  </si>
  <si>
    <t>Amounts for the year 2022</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</si>
  <si>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href="https://canadagazetteducanada.gc.ca/rp-pr/p1/2022/2022-02-26/html/notice-avis-eng.html#na7" target="_blank"&gt;here&lt;/a&gt;.</t>
  </si>
  <si>
    <t>This document is being replaced by the Interim Order Respecting Certain Requirements for Civil Aviation Due to COVID-19, No. 54 (CA-Vol.156,No.9(807)). The first effective date of the document that makes the change is February 10, 2022. More information about the change, including any additional effective dates, is available &lt;a href="https://canadagazetteducanada.gc.ca/rp-pr/p1/2022/2022-02-26/html/notice-avis-eng.html#nc1" target="_blank"&gt;here&lt;/a&gt;.</t>
  </si>
  <si>
    <t>CA-SC2000,c9</t>
  </si>
  <si>
    <t>Canada Elections Act</t>
  </si>
  <si>
    <t>CA-Vol.156,No.9(865)</t>
  </si>
  <si>
    <t>Inflation adjustment factor</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</si>
  <si>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href="https://canadagazetteducanada.gc.ca/rp-pr/p1/2022/2022-02-26/html/parliament-parlement-eng.html#pe2" target="_blank"&gt;here&lt;/a&gt;.</t>
  </si>
  <si>
    <t>CA-QC-Vol.154,No.9(153)</t>
  </si>
  <si>
    <t>Regulation respecting compensation for adverse effects on wetlands and bodies of water (Indexation notice)</t>
  </si>
  <si>
    <t>CA-BC-BCReg30/2019</t>
  </si>
  <si>
    <t>Agricultural Land Reserve Use Regulation</t>
  </si>
  <si>
    <t>CA-BC-BCReg36/2022</t>
  </si>
  <si>
    <t>Agricultural Land Reserve Use Regulation 2022-02-18 Amendments</t>
  </si>
  <si>
    <t>A change to this document has been announced. The effect of this change is notably to (1) include the use of agricultural land to construct, maintain or operate a controlled environment structure as a "farm use" that may be prohibited, and (2) provide certain exceptions to this prohibition. The first effective date of the document that makes the change is August 31, 2022. More information about the change, including any additional effective dates, is available &lt;a href="https://www.bclaws.gov.bc.ca/civix/document/id/oic/oic_cur/0083_2022" target="_blank"&gt;here&lt;/a&gt;.</t>
  </si>
  <si>
    <t>CA-BC-BCReg263/2010</t>
  </si>
  <si>
    <t>Code of Practice for Industrial Non-Hazardous Waste Landfills Incidental to the Wood Processing Industry</t>
  </si>
  <si>
    <t>CA-BC-BCReg35/2022</t>
  </si>
  <si>
    <t>Code of Practice for Industrial Non-Hazardous Waste Landfills Incidental to the Wood Processing Industry 2022-02-18 Amendments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</si>
  <si>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href="https://www.bclaws.gov.bc.ca/civix/document/id/mo/mo/m0039_2022" target="_blank"&gt;here&lt;/a&gt;.</t>
  </si>
  <si>
    <t>CA-QC-MO2022-018</t>
  </si>
  <si>
    <t>CA-BC-Bill3(42-3)</t>
  </si>
  <si>
    <t>Bill 3 - Protected Areas of British Columbia Amendment Act, 2022</t>
  </si>
  <si>
    <t>CA-QC-OC169-2022</t>
  </si>
  <si>
    <t>Scaling of timber harvested in forests in the domain of the State —Amendment</t>
  </si>
  <si>
    <t>CA-BC-Bill5(42-3)</t>
  </si>
  <si>
    <t>Bill 5 - Workers Compensation Amendment Act, 2022</t>
  </si>
  <si>
    <t>CA-BC-Bill4(42-3)</t>
  </si>
  <si>
    <t>Bill 4 - Skilled Trades BC Act</t>
  </si>
  <si>
    <t>CA-NL-Prop2022-02-22</t>
  </si>
  <si>
    <t>Minimum Wage Review</t>
  </si>
  <si>
    <t>BC.Reg.26/58</t>
  </si>
  <si>
    <t>Motor Vehicle Act Regulations</t>
  </si>
  <si>
    <t>CA-BC-BCReg24/2022</t>
  </si>
  <si>
    <t>Motor Vehicle Act Regulations 2022-02-14 Amendments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</si>
  <si>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href="https://www.bclaws.gov.bc.ca/civix/document/id/oic/oic_cur/0071_2022" target="_blank"&gt;here&lt;/a&gt;.</t>
  </si>
  <si>
    <t>RRScM-36.1.Reg1</t>
  </si>
  <si>
    <t>Municipalities Regulations</t>
  </si>
  <si>
    <t>CA-SK-Vol.118,No.7(19)</t>
  </si>
  <si>
    <t>Errata Notice for The Municipalities (Road Maintenance Agreements) Amendment Regulations, 2021</t>
  </si>
  <si>
    <t>A change to this document has been announced. The previously announced changes, which (1) "clarify the definition of what constitutes a bulk haul and to whom road maintenance agreements are to be applied"; (2) "establish a new rate structure based on verifiable data [and] administer the new rate structure based on regions; (3) "prescribe that rates will be updated every two years following implementation"; and (4) "create a new section to outline and clarify the terms for cancellation and suspension of agreements", now come into force on January 1, 2022. More information about the change, including any additional effective dates, is available &lt;a href="https://publications.saskatchewan.ca/api/v1/products/116762/formats/133557/download" target="_blank"&gt;here&lt;/a&gt; and &lt;a href="https://publications.saskatchewan.ca/api/v1/products/111981/formats/125876/download" target="_blank"&gt;here&lt;/a&gt;.</t>
  </si>
  <si>
    <t>CA-SK-RRScS-15.1Reg13</t>
  </si>
  <si>
    <t>The Employers' COVID-19 Emergency Regulations</t>
  </si>
  <si>
    <t>CA-SK-SR4/2022</t>
  </si>
  <si>
    <t>The Employers’ COVID-19 Emergency Repeal Regulations</t>
  </si>
  <si>
    <t>This document is being repealed. The first effective date of the document that makes the change is February 14, 2022. More information about the change, including any additional effective dates, is available &lt;a href="https://publications.saskatchewan.ca/api/v1/products/116762/formats/133557/download" target="_blank"&gt;here&lt;/a&gt;.</t>
  </si>
  <si>
    <t>CA-MB-Procl-2022-02-15(1)</t>
  </si>
  <si>
    <t>Proclamation of The Reducing Red Tape and Improving Services Act, 2020, s. 6-10</t>
  </si>
  <si>
    <t>CA-MB-CCSMcW95</t>
  </si>
  <si>
    <t>The Watershed Districts Act</t>
  </si>
  <si>
    <t>An Act amending this document is coming into force on February 26, 2022. More information about the change, including any additional effective dates, is available &lt;a href="https://web2.gov.mb.ca/laws/statutes/proclamations/2021c11(2022-02-26).pdf" target="_blank"&gt;here&lt;/a&gt;.</t>
  </si>
  <si>
    <t>CCSMcW210</t>
  </si>
  <si>
    <t>Workplace Safety and Health Act</t>
  </si>
  <si>
    <t>CCSMcM162</t>
  </si>
  <si>
    <t>CCSMcH39.1</t>
  </si>
  <si>
    <t>The Heritage Resources Act</t>
  </si>
  <si>
    <t>This Act is coming into force on February 26, 2022. More information about the change, including any additional effective dates, is available &lt;a href="https://web2.gov.mb.ca/laws/statutes/proclamations/2021c11(2022-02-26).pdf" target="_blank"&gt;here&lt;/a&gt;.</t>
  </si>
  <si>
    <t>CA-Vol.156,No.8(713)</t>
  </si>
  <si>
    <t>Description of critical habitat of the Eastern Waterfan (Peltigera hydrothyria) in Fundy National Park of Canada</t>
  </si>
  <si>
    <t>CA-Vol.156,No.8(717)</t>
  </si>
  <si>
    <t>Administrative Monetary Penalties (Canada Marine Act) Regulations</t>
  </si>
  <si>
    <t>CA-BC-BCReg26/2022</t>
  </si>
  <si>
    <t>Workers Compensation Act 2022-02-14 Amendments</t>
  </si>
  <si>
    <t>BCReg49/2011</t>
  </si>
  <si>
    <t>Alternative Safety Approaches Regulation</t>
  </si>
  <si>
    <t>CA-BC-BCReg21/2022</t>
  </si>
  <si>
    <t>Alternative Safety Approaches Regulation 2022-02-09 Amendments</t>
  </si>
  <si>
    <t>CA-QC-IN(R)2022-02-22</t>
  </si>
  <si>
    <t>Information note (Regulations) 2022-02-22</t>
  </si>
  <si>
    <t>RRQ,cQ-2,r40</t>
  </si>
  <si>
    <t>Regulation respecting the quality of drinking water</t>
  </si>
  <si>
    <t>CA-AC302-013</t>
  </si>
  <si>
    <t>Airport Winter Maintenance and Planning</t>
  </si>
  <si>
    <t>CA-AC300-005(2022-01-21)</t>
  </si>
  <si>
    <t>Changes to Runway Surface Condition Reporting 2022-01-21 Amendments</t>
  </si>
  <si>
    <t>This document is being cancelled. Subsequent to that announcement, no customers were tracking changes to this document. As a result, no analysis of the change is available in the language that you have selected. More information about the change is available &lt;a href="https://tc.canada.ca/sites/default/files/2022-02/AC_300-005_-_ISSUE_07.pdf" target="_blank"&gt;here&lt;/a&gt;.</t>
  </si>
  <si>
    <t>CA-AC300-005</t>
  </si>
  <si>
    <t>Changes to Runway Surface Condition Reporting</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</si>
  <si>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href="https://tc.canada.ca/sites/default/files/2022-02/AC_300-005_-_ISSUE_07.pdf" target="_blank"&gt;here&lt;/a&gt;.</t>
  </si>
  <si>
    <t>CA-QC-MO2022-015</t>
  </si>
  <si>
    <t>CA-SOR/2022-22</t>
  </si>
  <si>
    <t>Emergency Economic Measures Order</t>
  </si>
  <si>
    <t>CA-SOR/2022-21</t>
  </si>
  <si>
    <t>Emergency Measures Regulations</t>
  </si>
  <si>
    <t>CQLRcG-1.031</t>
  </si>
  <si>
    <t>An Act Respecting the Cree Nation Government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</si>
  <si>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href="http://www2.publicationsduquebec.gouv.qc.ca/dynamicSearch/telecharge.php?type=5&amp;file=2022C1A.PDF" target="_blank"&gt;here&lt;/a&gt;.</t>
  </si>
  <si>
    <t>RSQ,cD-13.1</t>
  </si>
  <si>
    <t>An Act respecting hunting and fishing rights in the James Bay and New Québec territories</t>
  </si>
  <si>
    <t>A change to this document has been announced. The effect of this change is to provide that the Oujé-Bougoumou band is considered a "band" for the purposes of this document. The first effective date of the document that makes the change is July 1, 2019. More information about the change, including any additional effective dates, is available &lt;a href="http://www2.publicationsduquebec.gouv.qc.ca/dynamicSearch/telecharge.php?type=5&amp;file=2022C1A.PDF" target="_blank"&gt;here&lt;/a&gt;.</t>
  </si>
  <si>
    <t>CA-Vol.156,No.7(528)</t>
  </si>
  <si>
    <t>Order 2022-87-01-02 Amending the Non-domestic Substances List</t>
  </si>
  <si>
    <t>CA-AB-AR5/2022</t>
  </si>
  <si>
    <t>Procedures (Traffic Safety Act) Amendment Regulation</t>
  </si>
  <si>
    <t>CA-AB-AR6/2022</t>
  </si>
  <si>
    <t>Traffic Safety Act Regulations Amendment Regulation</t>
  </si>
  <si>
    <t>CA-AB-AR8/2022</t>
  </si>
  <si>
    <t>Traffic Safety Act (Ministerial) Regulations Amendment Regulation</t>
  </si>
  <si>
    <t>CA-SOR/2022-12</t>
  </si>
  <si>
    <t>Order 2022-87-01-01 Amending the Domestic Substances List</t>
  </si>
  <si>
    <t>SOR/2000-205</t>
  </si>
  <si>
    <t>Class II Nuclear Facilities and Prescribed Equipment Regulations</t>
  </si>
  <si>
    <t>CA-SOR/2022-15</t>
  </si>
  <si>
    <t>Regulations Amending the Class II Nuclear Facilities and Prescribed Equipment Regulations (Miscellaneous Program)</t>
  </si>
  <si>
    <t>CA-SOR/2022-11</t>
  </si>
  <si>
    <t>Regulations Amending the Income Tax Regulations (COVID-19 — Twenty-Fourth and Twenty-Fifth Qualifying Periods)</t>
  </si>
  <si>
    <t>CA-SOR/2022-13</t>
  </si>
  <si>
    <t>Order 2022-112-01-01 Amending the Domestic Substances List</t>
  </si>
  <si>
    <t>SC2002,c29</t>
  </si>
  <si>
    <t>Species at Risk Act</t>
  </si>
  <si>
    <t>CA-SOR/2022-14</t>
  </si>
  <si>
    <t>Order Amending Schedule 1 to the Species at Risk Act (Miscellaneous Program)</t>
  </si>
  <si>
    <t>A change to this document has been announced. The effect of this change is to update the scientific and/or common names of 34 listed species in accordance with recommendations by the Committee on the Status of Endangered Wildlife in Canada (COSEWIC). The first effective date of the document that makes the change is February 3, 2022. More information about the change, including any additional effective dates, is available &lt;a href="https://canadagazetteducanada.gc.ca/rp-pr/p2/2022/2022-02-16/html/sor-dors14-eng.html" target="_blank"&gt;here&lt;/a&gt;.</t>
  </si>
  <si>
    <t>CA-SOR/2022-8</t>
  </si>
  <si>
    <t>CA-YT-YOIC2012/84</t>
  </si>
  <si>
    <t>CA-YT-OIC2022/30</t>
  </si>
  <si>
    <t>Regulation to Amend the Wildlife Regulation (Sifton-miners Range And South Canol Moose Management Units) 2022</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</si>
  <si>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href="https://laws.yukon.ca/cms/images/LEGISLATION/SUBORDINATE/2022/2022-0029/2022-0029_1.pdf" target="_blank"&gt;here&lt;/a&gt;.</t>
  </si>
  <si>
    <t>CA-YT-OIC2022/29</t>
  </si>
  <si>
    <t>Regulation to Amend the Wildlife Regulation (Mayo Moose Threshold Hunt) 2022</t>
  </si>
  <si>
    <t>CA-NS-NSReg7/2022</t>
  </si>
  <si>
    <t>French River Watershed Protected Water Area</t>
  </si>
  <si>
    <t>CA-NS-NSReg8/2022</t>
  </si>
  <si>
    <t>French River Watershed Protected Water Area Regulations</t>
  </si>
  <si>
    <t>CA-NoticeNPRI22</t>
  </si>
  <si>
    <t>Notice with respect to the substances in the National Pollutant Release Inventory for 2022, 2023 and 2024</t>
  </si>
  <si>
    <t>CA-Vol.156,No.7(682)</t>
  </si>
  <si>
    <t>CA-Vol.156,No.7(529)</t>
  </si>
  <si>
    <t>Public consultation process for the development of recycled content for certain plastic manufactured items regulations under the Canadian Environmental Protection Act, 1999</t>
  </si>
  <si>
    <t>PEI.Reg.EC16/85</t>
  </si>
  <si>
    <t>Codes and Standards Order</t>
  </si>
  <si>
    <t>CA-PE-EC2022-76</t>
  </si>
  <si>
    <t>Fire Prevention Act Codes and Standards Order Amendment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</si>
  <si>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href="https://www.princeedwardisland.ca/sites/default/files/publications/royal_gazette/rg_issue_7-february_12_2022_complete.pdf" target="_blank"&gt;here&lt;/a&gt;.</t>
  </si>
  <si>
    <t>CA-NL-SNL2021,cA-22.1</t>
  </si>
  <si>
    <t>Auditor General Act, 2021</t>
  </si>
  <si>
    <t>CA-NL-NLR6/22</t>
  </si>
  <si>
    <t>Proclamation of the Auditor General Act, 2021</t>
  </si>
  <si>
    <t>This Act is coming into force February 4, 2022. More information about the change is available &lt;a href="https://www.assembly.nl.ca/legislation/sr/lists/proclamations/nr220006.pdf" target="_blank"&gt;here&lt;/a&gt;.</t>
  </si>
  <si>
    <t>CA-ON-OReg75/22</t>
  </si>
  <si>
    <t>CA-BillS-5(44-1)</t>
  </si>
  <si>
    <t>Bill S-5 - Strengthening Environmental Protection for a Healthier Canada Act</t>
  </si>
  <si>
    <t>BC.Reg.604/2004</t>
  </si>
  <si>
    <t>Integrated Pest Management Regulation</t>
  </si>
  <si>
    <t>CA-BC-BCReg19/2022</t>
  </si>
  <si>
    <t>Integrated Pest Management Regulation 2022-02-07 Amendments</t>
  </si>
  <si>
    <t>A change to this document has been announced. The effect of this change is notably to modify the method of publishing pesticide use notices to the manner specified by the administrator. The first effective date of the document that makes the change is February 7, 2022. More information about the change, including any additional effective dates, is available &lt;a href="https://www.bclaws.gov.bc.ca/civix/document/id/regulationbulletin/regulationbulletin/r0019_2022" target="_blank"&gt;here&lt;/a&gt;.</t>
  </si>
  <si>
    <t>CA-BC-BCReg18/2022</t>
  </si>
  <si>
    <t>Integrated Pest Management Regulation 2022-02-02 Amendments</t>
  </si>
  <si>
    <t>CA-QC-MO2022-013</t>
  </si>
  <si>
    <t>CA-QC-MO2022-012</t>
  </si>
  <si>
    <t>CA-SK-Prop2022-02-07</t>
  </si>
  <si>
    <t>Tackling Red Tape – The Health Hazard Regulations</t>
  </si>
  <si>
    <t>CA-Vol.156,No.6(507)</t>
  </si>
  <si>
    <t>Notice of intent for the implementation of enhanced train control in Canada</t>
  </si>
  <si>
    <t>CA-Vol.156,No.6(476)</t>
  </si>
  <si>
    <t>Notice of intent to amend the Domestic Substances List under subsection 87(3) of the Canadian Environmental Protection Act, 1999</t>
  </si>
  <si>
    <t>CA-Vol.156,No.6(460)</t>
  </si>
  <si>
    <t>CA-Vol.156,No.6(498)</t>
  </si>
  <si>
    <t>Guidelines for Canadian drinking water quality for 2,4-dichlorophenoxyacetic acid (2,4-D)</t>
  </si>
  <si>
    <t>RRQ,cT-12,r15</t>
  </si>
  <si>
    <t>Regulation respecting the transport of passengers by water</t>
  </si>
  <si>
    <t>CA-QC-Vol.154,No.6(95)</t>
  </si>
  <si>
    <t>Commission des transports du Québec (Indexation notice for certain fees and duties payable to the CTQ)</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</si>
  <si>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href="http://www2.publicationsduquebec.gouv.qc.ca/dynamicSearch/telecharge.php?type=4&amp;file=2206.PDF" target="_blank"&gt;here&lt;/a&gt;.</t>
  </si>
  <si>
    <t>CQLR,cC-14.1,r1</t>
  </si>
  <si>
    <t>Regulation Respecting Rail Transportation</t>
  </si>
  <si>
    <t>A change to this document has been announced. The effect of the change is to increase certain fees contained in the document in accordance with the method prescribed by law, on April 1, 2022. More information about the change, including any additional effective dates, is available &lt;a href="http://www2.publicationsduquebec.gouv.qc.ca/dynamicSearch/telecharge.php?type=4&amp;file=2206.PDF" target="_blank"&gt;here&lt;/a&gt;.</t>
  </si>
  <si>
    <t>CA-NT-R-006-2022</t>
  </si>
  <si>
    <t>Ts’udé Nilįné Tuyeta Territorial Protected Area Regulations</t>
  </si>
  <si>
    <t>CA-MB-ManReg3/2022</t>
  </si>
  <si>
    <t>CA-QC-MO2022-011</t>
  </si>
  <si>
    <t>CA-QC-MO2020-087</t>
  </si>
  <si>
    <t>CA-QC-MO2022-010</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</si>
  <si>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href="http://www2.publicationsduquebec.gouv.qc.ca/dynamicSearch/telecharge.php?type=1&amp;file=105523.pdf" target="_blank"&gt;here&lt;/a&gt;.</t>
  </si>
  <si>
    <t>RSBC2016,c1</t>
  </si>
  <si>
    <t>Municipal Replotting Act</t>
  </si>
  <si>
    <t>CA-BC-BCReg17/2022</t>
  </si>
  <si>
    <t>Proclamation of the Municipal Affairs Statutes Amendment Act (No. 2), 2021, s. 2-4, 6, 7, 12, 14, 16, 17, 19, 21-25, 29, 31, 34, 38-40, 42, 48-51, 55</t>
  </si>
  <si>
    <t>CA-SOR/2022-4</t>
  </si>
  <si>
    <t>Critical Habitat of the Gattinger’s Agalinis (Agalinis gattingeri) Order</t>
  </si>
  <si>
    <t>COP-CF-AB</t>
  </si>
  <si>
    <t>Code of Practice for Compost Facilities</t>
  </si>
  <si>
    <t>CA-AB-COP-CF</t>
  </si>
  <si>
    <t>This document is being replaced by a new Code of Practice for Compost Facilities (CA-AB-COP-CF), effective 14 January 2022. More information about the change, including any additional effective dates, is available &lt;a href="https://www.qp.alberta.ca/documents/gazette/2022/pdf/02_Jan31_Part1.pdf" target="_blank"&gt;here&lt;/a&gt;.</t>
  </si>
  <si>
    <t>CA-RSC,1985,cF-11</t>
  </si>
  <si>
    <t>CA-SOR/2022-3</t>
  </si>
  <si>
    <t>Order Amending Schedule I.1 of that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</si>
  <si>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href="https://canadagazetteducanada.gc.ca/rp-pr/p2/2022/2022-02-02/html/sor-dors3-eng.html" target="_blank"&gt;here&lt;/a&gt;.</t>
  </si>
  <si>
    <t>CA-ON-OReg23/22</t>
  </si>
  <si>
    <t>Temporary Suspension of Statutory Protections for Black Ash</t>
  </si>
  <si>
    <t>CA-ON-ERO-019-4597</t>
  </si>
  <si>
    <t>Amendment to Ontario Regulation 315/07 under the Provincial Parks and Conservation Reserves Act, 2006 to create a conservation reserve along the south shore of Prince Edward County</t>
  </si>
  <si>
    <t>CA-ON-ERO-019-4974</t>
  </si>
  <si>
    <t>Proposed Changes for the Next Edition of Ontario’s Building Code (Winter Consultation)</t>
  </si>
  <si>
    <t>CA-ON-ERO-019-4108</t>
  </si>
  <si>
    <t>Expanding administrative penalties for environmental contraventions</t>
  </si>
  <si>
    <t>CA-ON-ORR-22-SOLGEN001</t>
  </si>
  <si>
    <t>CA-Vol.156,No.5(361)</t>
  </si>
  <si>
    <t>Notice with respect to the availability of environmental occurrences notification agreements</t>
  </si>
  <si>
    <t>CA-Vol.156,No.5(362)</t>
  </si>
  <si>
    <t>Withdrawal of select guidelines for Canadian drinking water quality</t>
  </si>
  <si>
    <t>CA-Vol.156,No.3(257)</t>
  </si>
  <si>
    <t>Interim Order Respecting Certain Requirements for Civil Aviation Due to COVID-19, No. 51</t>
  </si>
  <si>
    <t>This document is being replaced by the Interim Order Respecting Certain Requirements for Civil Aviation Due to COVID-19, No. 52 (CA-Vol.156,No.5(365)). The first effective date of the document that makes the change is January 15, 2022. More information about the change, including any additional effective dates, is available &lt;a href="https://canadagazetteducanada.gc.ca/rp-pr/p1/2022/2022-01-29/html/notice-avis-eng.html#n14" target="_blank"&gt;here&lt;/a&gt;.</t>
  </si>
  <si>
    <t>CA-Vol.155,No.50(5743)</t>
  </si>
  <si>
    <t>Interim Order Respecting Vessel Restrictions and Vaccination Requirements Due to the Coronavirus Disease 2019 (COVID-19)</t>
  </si>
  <si>
    <t>This document is being replaced by the Interim Order No. 2 Respecting Vessel Restrictions and Vaccination Requirements Due to the Coronavirus Disease 2019 (COVID-19) (CA-Vol.156,No.5(412)). The first effective date of the document that makes the change is January 15, 2022. More information about the change, including any additional effective dates, is available &lt;a href="https://canadagazetteducanada.gc.ca/rp-pr/p1/2022/2022-01-29/html/notice-avis-eng.html#nc1" target="_blank"&gt;here&lt;/a&gt;.</t>
  </si>
  <si>
    <t>CA-ON-OReg19/22</t>
  </si>
  <si>
    <t>CA-ON-OReg22/22</t>
  </si>
  <si>
    <t>Revoking O. Reg. 19/22 (Temporary Suspension of Statutory Protections for Black Ash)</t>
  </si>
  <si>
    <t>This document has been repealed. Subsequent to that announcement, no customers were tracking changes to this document. As a result, no analysis of the change is available in the language that you have selected. More information about the change is available &lt;a href="https://www.ontario.ca/laws/regulation/r22022" target="_blank"&gt;here&lt;/a&gt;.</t>
  </si>
  <si>
    <t>O.Reg.230/08</t>
  </si>
  <si>
    <t>Species at Risk in Ontario List</t>
  </si>
  <si>
    <t>CA-ON-OReg24/22</t>
  </si>
  <si>
    <t>Amending O. Reg. 230/08 (Species at Risk in Ontario List)</t>
  </si>
  <si>
    <t>A change to this document has been announced. The effect of this change is notably to (1) add 12 and remove 4 species from the list of endangered species, (2) add 11 and remove 4 species from the list of threatened species, (3) add 2 and remove 1 species from the list of special concern species, and (4) revise the scientific name of the Karner Blue ( Plebejus samuelis ) in the list of extirpated species. The first effective date of the document that makes the change is January 26, 2022. More information about the change, including any additional effective dates, is available &lt;a href="https://www.ontario.ca/laws/regulation/r22024" target="_blank"&gt;here&lt;/a&gt;.</t>
  </si>
  <si>
    <t>CA-ON-OReg25/22</t>
  </si>
  <si>
    <t>CA-ON-OReg26/22</t>
  </si>
  <si>
    <t>O.Reg.175/98</t>
  </si>
  <si>
    <t>General - Workplace Safety and Insurance Act, 1997</t>
  </si>
  <si>
    <t>CA-ON-OReg28/22</t>
  </si>
  <si>
    <t>Amending O. Reg. 175/98 (General)</t>
  </si>
  <si>
    <t>A change to this document has been announced. The effect of this change is notably to include Parkinson’s disease in the list of occupational diseases covered by the insurance plan (Schedule 3). The first effective date of the document that makes the change is January 27, 2022. More information about the change, including any additional effective dates, is available &lt;a href="https://www.ontario.ca/laws/regulation/r22028" target="_blank"&gt;here&lt;/a&gt;.</t>
  </si>
  <si>
    <t>CA-ON-OReg47/22</t>
  </si>
  <si>
    <t>CA-BC-Prop2022-01-25</t>
  </si>
  <si>
    <t>Watershed Security Strategy and Fund Discussion Paper</t>
  </si>
  <si>
    <t>CA-BC-Prop-2022-01-27</t>
  </si>
  <si>
    <t>Proposed policy amendments regarding permanent psychological disability benefits</t>
  </si>
  <si>
    <t>CA-QC-MO2022-008</t>
  </si>
  <si>
    <t>CA-QC-Vol.154,No.4(232)</t>
  </si>
  <si>
    <t>System of selective collection of certain residual materials</t>
  </si>
  <si>
    <t>CA-QC-Vol.154,No.4(197)</t>
  </si>
  <si>
    <t>Deposit system for certain containers</t>
  </si>
  <si>
    <t>CA-QC-OC48-2022</t>
  </si>
  <si>
    <t>CA-QC-OC49-2022</t>
  </si>
  <si>
    <t>CA-QC-SQ2020,c21</t>
  </si>
  <si>
    <t>Credit Assessment Agents Act</t>
  </si>
  <si>
    <t>CA-QC-SQ2021,c34</t>
  </si>
  <si>
    <t>An Act to amend various legislative provisions mainly with respect to the financial sector</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</si>
  <si>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href="http://www2.publicationsduquebec.gouv.qc.ca/dynamicSearch/telecharge.php?type=5&amp;file=2021C34A.PDF" target="_blank"&gt;here&lt;/a&gt;.</t>
  </si>
  <si>
    <t>CA-ON-ERO-019-4926</t>
  </si>
  <si>
    <t>Supporting Critical Transmission Infrastructure in Southwestern Ontario</t>
  </si>
  <si>
    <t>CA-ON-ERO-019-4951</t>
  </si>
  <si>
    <t>Retention of proceeds from the sale of samples taken for the purpose of testing on leases, licences, and other mining lands</t>
  </si>
  <si>
    <t>CA-Vol.156,No.4(341)(1)</t>
  </si>
  <si>
    <t>Description of the critical habitat of the Striped Bass, St. Lawrence River population, in the Cap Tourmente National Wildlife Area, Saint-Vallier Bird Sanctuary, Montmagny Bird Sanctuary, Cap-Saint-Ignace Bird Sanctuary, L’Islet Bird Sanctuary and Trois-Saumons Bird Sanctuary</t>
  </si>
  <si>
    <t>CA-Vol.156,No.4(344)</t>
  </si>
  <si>
    <t>Description of Cerulean Warbler critical habitat in the Philipsburg Bird Sanctuary</t>
  </si>
  <si>
    <t>CA-Vol.156,No.4(341)(2)</t>
  </si>
  <si>
    <t>Final guidelines for Canadian drinking water quality for diquat</t>
  </si>
  <si>
    <t>CA-ON-OReg16/22</t>
  </si>
  <si>
    <t>Amending O. Reg 263/20 (Rules for Areas in Step 2)</t>
  </si>
  <si>
    <t>CA-BC-BCReg89/97</t>
  </si>
  <si>
    <t>Violation Ticket Administration and Fines Regulation</t>
  </si>
  <si>
    <t>CA-BC-BCReg12/2022</t>
  </si>
  <si>
    <t>Violation Ticket Administration and Fines Regulation 2022-01-17 Amendments</t>
  </si>
  <si>
    <t>CA-QC-SQ2021,c31</t>
  </si>
  <si>
    <t>An Act to amend the Act respecting elections and referendums in municipalities, the Municipal Ethics and Good Conduct Act and various legislative provisions</t>
  </si>
  <si>
    <t>CA-QC-CQLR,cV-1.3</t>
  </si>
  <si>
    <t>Act respecting off-highway vehicles</t>
  </si>
  <si>
    <t>RRQ,cQ-2,r32</t>
  </si>
  <si>
    <t>Regulation respecting hazardous materials</t>
  </si>
  <si>
    <t>CQLR,cL-6.2</t>
  </si>
  <si>
    <t>Tobacco Control Act</t>
  </si>
  <si>
    <t>CA-QC-CQLRcQ-2,r48</t>
  </si>
  <si>
    <t>Regulation respecting hot mix asphalt plants</t>
  </si>
  <si>
    <t>CQLRcQ-2,r4.01</t>
  </si>
  <si>
    <t>Regulation respecting private waterworks and sewer services</t>
  </si>
  <si>
    <t>RRQ,cR-13,r1</t>
  </si>
  <si>
    <t>Regulation respecting the water property in the domain of the State</t>
  </si>
  <si>
    <t>CA-QC-MO2022-004</t>
  </si>
  <si>
    <t>CA-NB-Prop2022-01-19</t>
  </si>
  <si>
    <t>Amendments to the General Regulation under the Occupational Health and Safety Act (Phase 1)</t>
  </si>
  <si>
    <t>CA-ON-ORR-22-HLTC001</t>
  </si>
  <si>
    <t>Proposed Regulatory Amendments under the Mandatory Blood Testing Act (MBTA) and the Laboratory and Specimen Collection Centre Licensing Act (LSCCLA)</t>
  </si>
  <si>
    <t>CA-QC-Vol.154,No.3(141)</t>
  </si>
  <si>
    <t>Labour standards — Amendment</t>
  </si>
  <si>
    <t>CA-SOR/2022-2</t>
  </si>
  <si>
    <t>Critical Habitat of the Striped Bass (Morone saxatilis) St. Lawrence River Population Order</t>
  </si>
  <si>
    <t>CA-NB-NBReg2022-1</t>
  </si>
  <si>
    <t>COVID-19 Preventative Measures Regulation – Public Health Act 2022-01-14 Amendments</t>
  </si>
  <si>
    <t>CA-AB-AR262/2021</t>
  </si>
  <si>
    <t>CA-ON-ERO-019-4867</t>
  </si>
  <si>
    <t>Environmental assessment requirements for advanced recycling facilities under the Environmental Assessment Act (EAA)</t>
  </si>
  <si>
    <t>CA-Vol.156,No.3(252)</t>
  </si>
  <si>
    <t>Notice of intent to amend the Migratory Birds Regulations</t>
  </si>
  <si>
    <t>CA-Vol.156,No.3(254)</t>
  </si>
  <si>
    <t>Final guidelines for Canadian drinking water quality for dicamba</t>
  </si>
  <si>
    <t>CA-QC-IN(R)2022-01-13</t>
  </si>
  <si>
    <t>Information note (Regulations) 2022-01-13</t>
  </si>
  <si>
    <t>CA-Vol.156,No.2(84)</t>
  </si>
  <si>
    <t>Interim Order Respecting Certain Requirements for Civil Aviation Due to COVID-19, No. 50</t>
  </si>
  <si>
    <t>This document is being replaced by the Interim Order Respecting Certain Requirements for Civil Aviation Due to COVID-19, No. 51 (CA-Vol.156,No.3(257)). The first effective date of the document that makes the change is January 2, 2022. More information about the change, including any additional effective dates, is available &lt;a href="https://canadagazetteducanada.gc.ca/rp-pr/p1/2022/2022-01-15/html/notice-avis-eng.html#na4" target="_blank"&gt;here&lt;/a&gt;.</t>
  </si>
  <si>
    <t>O.Reg.95/05</t>
  </si>
  <si>
    <t>Classes of Consumers and Determination of Rates</t>
  </si>
  <si>
    <t>CA-ON-OReg10/22</t>
  </si>
  <si>
    <t>Amending O. Reg. 95/05 (Classes of Consumers and Determination of Rates)</t>
  </si>
  <si>
    <t>RRQ,cS-2.1,r16</t>
  </si>
  <si>
    <t>Regulation respecting occupational health services</t>
  </si>
  <si>
    <t>CA-QC-SQ2021,c27</t>
  </si>
  <si>
    <t>An Act to modernize the occupational health and safety regime</t>
  </si>
  <si>
    <t>The repeal of this document has been announced. The first effective date of the document that makes the change is October 6, 2021. More information about the change, including any additional effective dates, is available &lt;a href="http://www2.publicationsduquebec.gouv.qc.ca/dynamicSearch/telecharge.php?type=5&amp;file=2021C27A.PDF" target="_blank"&gt;here&lt;/a&gt;.</t>
  </si>
  <si>
    <t>RRQ,cS-2.1,r12</t>
  </si>
  <si>
    <t>Safety Representatives in establishments Regulation</t>
  </si>
  <si>
    <t>RRQ,cS-2.1,r7</t>
  </si>
  <si>
    <t>Regulation respecting pulmonary health examinations for mine workers</t>
  </si>
  <si>
    <t>RRQ,cS-2.1,r5</t>
  </si>
  <si>
    <t>Regulation respecting health and safety committees</t>
  </si>
  <si>
    <t>RRQ,cS-2.1,r3</t>
  </si>
  <si>
    <t>Regulation respecting the certificate issued for the preventive withdrawal and re-assignment of a pregnant or breast-feeding worker</t>
  </si>
  <si>
    <t>This Regulation is being repealed on January 1, 2023. More information about the change, including any additional effective dates, is available &lt;a href="http://www2.publicationsduquebec.gouv.qc.ca/dynamicSearch/telecharge.php?type=5&amp;file=2021C27A.PDF" target="_blank"&gt;here&lt;/a&gt;.</t>
  </si>
  <si>
    <t>RRQ,cS-2.1,r2</t>
  </si>
  <si>
    <t>Regulation respecting Joint sector-based associations on occupational health and safety</t>
  </si>
  <si>
    <t>A change to this document has been announced. The first effective date of the document that makes the change is October 6, 2021. More information about the change, including any additional effective dates, is available &lt;a href="http://www2.publicationsduquebec.gouv.qc.ca/dynamicSearch/telecharge.php?type=5&amp;file=2021C27A.PDF" target="_blank"&gt;here&lt;/a&gt;.</t>
  </si>
  <si>
    <t>RRQ,cS-2.1,r1</t>
  </si>
  <si>
    <t>Joint Sector-Based Construction Association on Occupational Health and Safety Regulation</t>
  </si>
  <si>
    <t>CA-QC-SQ2019,c12</t>
  </si>
  <si>
    <t>An Act respecting the laicity of the State</t>
  </si>
  <si>
    <t>CA-QC-SQ2021,c33</t>
  </si>
  <si>
    <t>An Act to enact the Act respecting the Ministère de la Cybersécurité et du Numérique and to amend other provisions</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</si>
  <si>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href="http://www2.publicationsduquebec.gouv.qc.ca/dynamicSearch/telecharge.php?type=5&amp;file=2021C33A.PDF" target="_blank"&gt;here&lt;/a&gt;.</t>
  </si>
  <si>
    <t>CQLRcG-1.03</t>
  </si>
  <si>
    <t>An Act Respecting the Governance and Management of The Information Resources of Public Bodies and Government Enterprises</t>
  </si>
  <si>
    <t>CQLR,cC-1.1</t>
  </si>
  <si>
    <t>An Act to Establish a Legal Framework for Information Technology</t>
  </si>
  <si>
    <t>CQLRcA-6.001</t>
  </si>
  <si>
    <t>CA-BC-Prop2022-01-10</t>
  </si>
  <si>
    <t>Asbestos abatement licensing and training</t>
  </si>
  <si>
    <t>CA-QC-Vol.154,No.1(29)</t>
  </si>
  <si>
    <t>Royalty Rates on Energy Generated by Water Power in Québec (Indexation Notice)</t>
  </si>
  <si>
    <t>CA-SOR/2021-262</t>
  </si>
  <si>
    <t>Order 2021-66-10-01 Amending the Domestic Substances List</t>
  </si>
  <si>
    <t>CA-SOR/2021-260</t>
  </si>
  <si>
    <t>Order 2021-87-10-01 Amending the Domestic Substances List</t>
  </si>
  <si>
    <t>CA-SOR/2021-259</t>
  </si>
  <si>
    <t>Order 2021-87-08-01 Amending the Domestic Substances List</t>
  </si>
  <si>
    <t>CA-SOR/2021-251</t>
  </si>
  <si>
    <t>Order 2021-87-13-01 Amending the Domestic Substances List</t>
  </si>
  <si>
    <t>CA-SOR/2021-263</t>
  </si>
  <si>
    <t>Order 2021-87-12-01 Amending the Domestic Substances List</t>
  </si>
  <si>
    <t>CA-SOR/2021-252</t>
  </si>
  <si>
    <t>Order 2021-87-14-01 Amending the Domestic Substances List</t>
  </si>
  <si>
    <t>CA-SOR/2021-267</t>
  </si>
  <si>
    <t>Order 2021-87-17-01 Amending the Domestic Substances List</t>
  </si>
  <si>
    <t>CA-SOR/2021-265</t>
  </si>
  <si>
    <t>Order 2021-87-15-01 Amending the Domestic Substances List</t>
  </si>
  <si>
    <t>CA-SOR/2021-261</t>
  </si>
  <si>
    <t>Order 2021-112-10-01 Amending the Domestic Substances List</t>
  </si>
  <si>
    <t>CA-SOR/2021-266</t>
  </si>
  <si>
    <t>Order 2021-112-15-01 Amending the Domestic Substances List</t>
  </si>
  <si>
    <t>CA-SOR/2021-264</t>
  </si>
  <si>
    <t>Order 2021-112-12-01 Amending the Domestic Substances List</t>
  </si>
  <si>
    <t>CA-SOR/2021-250</t>
  </si>
  <si>
    <t>Order 2021-112-11-01 Amending the Domestic Substances List</t>
  </si>
  <si>
    <t>CA-SOR/2021-253</t>
  </si>
  <si>
    <t>Order 2021-112-16-01 Amending the Domestic Substances List</t>
  </si>
  <si>
    <t>CA-Vol.156,No.2(75)</t>
  </si>
  <si>
    <t>Order 2021-87-15-02 Amending the Non-domestic Substances List</t>
  </si>
  <si>
    <t>CA-Vol.156,No.2(74)</t>
  </si>
  <si>
    <t>Order 2021-87-12-02 Amending the Non-domestic Substances List</t>
  </si>
  <si>
    <t>CA-Vol.156,No.2(73)</t>
  </si>
  <si>
    <t>Order 2021-87-10-02 Amending the Non-domestic Substances List</t>
  </si>
  <si>
    <t>CA-Vol.155,No.52(6075)</t>
  </si>
  <si>
    <t>Interim Order Respecting Certain Requirements for Civil Aviation Due to COVID-19, No. 49</t>
  </si>
  <si>
    <t>This document is being replaced by the Interim Order Respecting Certain Requirements for Civil Aviation Due to COVID-19, No. 50 (CA-Vol.156,No.2(84)). The first effective date of the document that makes the change is December 20, 2021. More information about the change, including any additional effective dates, is available &lt;a href="https://canadagazetteducanada.gc.ca/rp-pr/p1/2022/2022-01-08/html/notice-avis-eng.html#na8" target="_blank"&gt;here&lt;/a&gt;.</t>
  </si>
  <si>
    <t>CA-Vol.156,No.2(76)</t>
  </si>
  <si>
    <t>Order 2021-87-17-02 Amending the Non-domestic Substances List</t>
  </si>
  <si>
    <t>CA-Vol.156,No.1(15)</t>
  </si>
  <si>
    <t>Interim Order Respecting a Flooded Area in British Columbia, 2021, No. 3</t>
  </si>
  <si>
    <t>CA-Vol.156,No.2(137)</t>
  </si>
  <si>
    <t>Order Repealing the Interim Order Respecting a Flooded Area in British Columbia, 2021, No. 3</t>
  </si>
  <si>
    <t>This document is being repealed. The first effective date of the document that makes the change is December 23, 2021. More information about the change, including any additional effective dates, is available &lt;a href="https://canadagazetteducanada.gc.ca/rp-pr/p1/2022/2022-01-08/html/notice-avis-eng.html#nc5" target="_blank"&gt;here&lt;/a&gt;.</t>
  </si>
  <si>
    <t>CA-QC-MO2021-094</t>
  </si>
  <si>
    <t>Order 2021-094 of the Minister of Health and Social Services dated 30 December 2021</t>
  </si>
  <si>
    <t>CA-QC-MO2021-096</t>
  </si>
  <si>
    <t>Order 2021-096 of the Minister of Health and Social Services dated 31 December 2021</t>
  </si>
  <si>
    <t>CA-QC-MO2022-001</t>
  </si>
  <si>
    <t>Order 2022-001 of the Minister of Health and Social Services dated 2 January 2022</t>
  </si>
  <si>
    <t>CA-SOR/2021-268</t>
  </si>
  <si>
    <t>Volatile Organic Compound Concentration Limits for Certain Products Regulations</t>
  </si>
  <si>
    <t>CA-QC-Vol.154,No.1(43)</t>
  </si>
  <si>
    <t>CA-Vol.156,No.1(26)</t>
  </si>
  <si>
    <t>Order Declaring that the Metal and Diamond Mining Effluent Regulations Do Not Apply to Certain Metal and Diamond Mines Located in the Northwest Territories</t>
  </si>
  <si>
    <t>CA-QC-MO2021-092</t>
  </si>
  <si>
    <t>Order 2021-092 of the Minister of Health and Social Services dated 22 December 2021</t>
  </si>
  <si>
    <t>CA-QC-MO2021-093</t>
  </si>
  <si>
    <t>Order 2021-093 of the Minister of Health and Social Services dated 23 December 2021</t>
  </si>
  <si>
    <t>CA-QC-MO2021-032</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</si>
  <si>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href="http://www2.publicationsduquebec.gouv.qc.ca/dynamicSearch/telecharge.php?type=1&amp;file=105464.pdf" target="_blank"&gt;here&lt;/a&gt;.</t>
  </si>
  <si>
    <t>RRQ,cF-5,r1</t>
  </si>
  <si>
    <t>Regulation respecting certificates of qualification and apprenticeship in electricity, pipe fitting and mechanical conveyor systems mechanics in sectors other than the construction industry</t>
  </si>
  <si>
    <t>CA-QC-Vol.154,No.1(7)</t>
  </si>
  <si>
    <t>Fees exigible under section 30 of the An Act respecting workforce vocational training and qualification (chapter F-5) and under section 28 of the Regulation respecting certificates of qualification and apprenticeship in electricity, pipe fitting and mechanical conveyor systems mechanics in sectors other than the construction industry (chapter F-5, r. 1) (Indexation notice)</t>
  </si>
  <si>
    <t>A change to this document has been announced. The effect of the change is to increase various fees contained in the document in accordance with the method prescribed by law on January 1, 2022. More information about the change, including any additional effective dates, is available &lt;a href="http://www2.publicationsduquebec.gouv.qc.ca/dynamicSearch/telecharge.php?type=4&amp;file=2201.PDF" target="_blank"&gt;here&lt;/a&gt;.</t>
  </si>
  <si>
    <t>RSQ,cF-5</t>
  </si>
  <si>
    <t>An Act respecting workforce vocational training and qualification</t>
  </si>
  <si>
    <t>CA-QC-Vol.154,No.1(8)</t>
  </si>
  <si>
    <t>Fees exigible pursuant to sections 29.1 and 29.2 of the An Act respecting workforce vocational training and qualification (chapter F-5) (Indexation notice)</t>
  </si>
  <si>
    <t>CA-QC-Vol.154,No.1(10)</t>
  </si>
  <si>
    <t>Maximum amount payable for the appropriate driving course course appropriate to the driving of a road vehicle road vehicle covered by class 5 driving licence for the year 2022 (Indexation notice)</t>
  </si>
  <si>
    <t>CA-QC-Vol.154,No.1(16)</t>
  </si>
  <si>
    <t>Rates for services offered by the Société de l'assurance automobile du Québec for the year 2022 (Indexation notice)</t>
  </si>
  <si>
    <t>CA-QC-Vol.154,No.1(36)</t>
  </si>
  <si>
    <t>Regulation to amend the Regulation to amend the Regulation respecting financing</t>
  </si>
  <si>
    <t>CA-SOR/2021-269</t>
  </si>
  <si>
    <t>Regulations Amending the Canadian Aviation Regulations (Parts I, III and VI — RESA)</t>
  </si>
  <si>
    <t>CA-SOR/2021-271</t>
  </si>
  <si>
    <t>Regulations Amending Certain Regulations Relating to Restricted Drugs (Special Access Program)</t>
  </si>
  <si>
    <t>CA-Vol.155,No.50(5739)</t>
  </si>
  <si>
    <t>Interim Order Respecting Certain Flooded Areas in British Columbia, 2021, No. 2</t>
  </si>
  <si>
    <t>RRQ,cQ-2,r35</t>
  </si>
  <si>
    <t>Protection Policy for Lakeshores, Riverbanks, Littoral Zones and Floodplains</t>
  </si>
  <si>
    <t>This document is being repealed by the Regulation respecting the temporary implementation of the amendments made by chapter 7 of the Statutes of 2021 in connection with the management of flood risks (CA-QC-OC1596-2021). The first effective date of the document that makes the change is March 1, 2022. More information about the change, including any additional effective dates, is available &lt;a href="http://www2.publicationsduquebec.gouv.qc.ca/dynamicSearch/telecharge.php?type=1&amp;file=105453.pdf" target="_blank"&gt;here&lt;/a&gt;.</t>
  </si>
  <si>
    <t>RRQ,cP-9.3,r1</t>
  </si>
  <si>
    <t>Pesticides Management Code</t>
  </si>
  <si>
    <t>A change to this document has been announced. The effect of this change is notably to (1) establish exemptions to this regulation, (2) revise the list of areas where it is prohibited to spread fertilizers, (3) make various clarifications that distances from watercourse and bodies of water must include the littoral zone of a watercourse or body of water, and (4) provide that the prohibition on spreading fertilizers within 3 metres of a watercourse, body of water, or ditch does not apply to the cultivation of non-aquatic plants and mushrooms under certain conditions. The first effective date of the document that makes the change is March 1, 2022. More information about the change, including any additional effective dates, is available &lt;a href="http://www2.publicationsduquebec.gouv.qc.ca/dynamicSearch/telecharge.php?type=1&amp;file=105453.pdf" target="_blank"&gt;here&lt;/a&gt;.</t>
  </si>
  <si>
    <t>CA-QC-MO2021-088</t>
  </si>
  <si>
    <t>Order 2021-088 of the Minister of Health and Social Services dated 16 December 2021</t>
  </si>
  <si>
    <t>CA-QC-MO2021-089</t>
  </si>
  <si>
    <t>Order 2021-089 of the Minister of Health and Social Services dated 19 December 2021</t>
  </si>
  <si>
    <t>CA-QC-MO2021-090</t>
  </si>
  <si>
    <t>Order 2021-090 of the Minister of Health and Social Services dated 20 December 2021</t>
  </si>
  <si>
    <t>CA-QC-MO2021-091</t>
  </si>
  <si>
    <t>Order 2021-091 of the Minister of Health and Social Services dated 21 December 2021</t>
  </si>
  <si>
    <t>CA-QC-CQLRcD-8.3,r0.1</t>
  </si>
  <si>
    <t>Regulation respecting the accreditation and ethics of training bodies, training instructors and training services</t>
  </si>
  <si>
    <t>CA-QC-Vol.153,No.52(747)(2)</t>
  </si>
  <si>
    <t>Fees exigible under section 20 of the An Act to promote workforce skills development and recognition (chapter D-8.3) and under section 23 of the Regulation respecting the accreditation and ethics of training bodies, training instructors and training services (chapter D-8.3, r. 0.1) (Indexation notice)</t>
  </si>
  <si>
    <t>A change to this document has been announced. The effect of the change is to increase various fees contained in the document in accordance with the method prescribed by law on January 1, 2022. More information about the change, including any additional effective dates, is available &lt;a href="http://www2.publicationsduquebec.gouv.qc.ca/dynamicSearch/telecharge.php?type=4&amp;file=2152.PDF" target="_blank"&gt;here&lt;/a&gt;.</t>
  </si>
  <si>
    <t>CA-QC-Vol.153,No.52(747)(1)</t>
  </si>
  <si>
    <t>Conditions to meet to be added to the list of experts under the Environmental Quality Act (Chapter Q-2, s. 31.65) (Indexation notice)</t>
  </si>
  <si>
    <t>RRQ,cQ-2,r47</t>
  </si>
  <si>
    <t>Regulation respecting the rate to determine the costs of sampling</t>
  </si>
  <si>
    <t>CA-QC-Vol.153,No.52(758)</t>
  </si>
  <si>
    <t>Regulation respecting the rate to determine the costs of sampling, analysis, inspection or investigation included in the costs of civil or penal proceedings instituted for the purposes of the Environment Quality Act (Indexation notice)</t>
  </si>
  <si>
    <t>CA-QC-Vol.153,No.52(756)</t>
  </si>
  <si>
    <t>Regulation respecting the water property in the domain of the State (Indexation notice)</t>
  </si>
  <si>
    <t>RRQ,cS-3.1.01,r1</t>
  </si>
  <si>
    <t>Dam Safety Regulation</t>
  </si>
  <si>
    <t>CA-QC-Vol.153,No.52(755)</t>
  </si>
  <si>
    <t>Dam Safety Regulation (Indexation notice)</t>
  </si>
  <si>
    <t>RRQ,cQ-2,r5</t>
  </si>
  <si>
    <t>Regulation respecting the operation of industrial establishments</t>
  </si>
  <si>
    <t>CA-QC-Vol.153,No.52(759)</t>
  </si>
  <si>
    <t>Regulation respecting the operation of industrial establishments (Indexation notice)</t>
  </si>
  <si>
    <t>RRQ,cP-9.3,r2</t>
  </si>
  <si>
    <t>Regulation respecting permits and certificates for the sale and use of pesticides</t>
  </si>
  <si>
    <t>CA-QC-Vol.153,No.52(761)</t>
  </si>
  <si>
    <t>Regulation respecting permits and certificates for the sale and use of pesticides (Indexation notice)</t>
  </si>
  <si>
    <t>RRQ,cP-9,r25</t>
  </si>
  <si>
    <t>Parks Regulation</t>
  </si>
  <si>
    <t>CA-QC-Vol.153,No.52(760)</t>
  </si>
  <si>
    <t>Regulation respecting culler's licences, Regulation respecting the fees payable by certified forest producers, Parks Regulation (Indexation notice)</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</si>
  <si>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href="http://www2.publicationsduquebec.gouv.qc.ca/dynamicSearch/telecharge.php?type=4&amp;file=2152.PDF" target="_blank"&gt;here&lt;/a&gt;.</t>
  </si>
  <si>
    <t>CQLR,cM-12.1,r1</t>
  </si>
  <si>
    <t>Regulation respecting culler's licences</t>
  </si>
  <si>
    <t>CA-QC-CQLRcT-8.1,r4</t>
  </si>
  <si>
    <t>Regulation respecting fees exigible for the transfer of land management</t>
  </si>
  <si>
    <t>A change to this document has been announced. The effect of the change is to increase fees contained in the document in accordance with the method prescribed by law, on January 1, 2022. More information about the change, including any additional effective dates, is available &lt;a href="http://www2.publicationsduquebec.gouv.qc.ca/dynamicSearch/telecharge.php?type=4&amp;file=2152.PDF" target="_blank"&gt;here&lt;/a&gt;.</t>
  </si>
  <si>
    <t>CA-QC-Vol.153,No.52(762)(1)</t>
  </si>
  <si>
    <t>Regulation respecting the charges payable for the disposal of residual materials (Indexation notice)</t>
  </si>
  <si>
    <t>CA-QC-Vol.153,No.52(766)</t>
  </si>
  <si>
    <t>Unit rate applicable to the holder of a forestry permit for the culture and exploitation of a sugar bush to produce maple syrup for the period covering January 1 to December 31, 2022 (Indexation notice)</t>
  </si>
  <si>
    <t>CA-QC-OC871-2020(5)</t>
  </si>
  <si>
    <t>Snow, road salt and abrasives management regulation</t>
  </si>
  <si>
    <t>RRQ,cA-3.001,r10</t>
  </si>
  <si>
    <t>First-aid Minimum Standards Regulation</t>
  </si>
  <si>
    <t>CA-QC-OC1488-2021</t>
  </si>
  <si>
    <t>Regulation to amend the Regulation respecting health and safety in forest development work and the First-aid Minimum Standards Regulation</t>
  </si>
  <si>
    <t>A change to this document has been announced. The effect of this change is notably to (1) require employers in the "Forestry" sector (covered by the Regulation respecting health and safety in forest development work (RRQ,cS-2.1,r12.1-en)) to ensure that one in five workers is a first-aider, and (2) provide that requirements for nurses and first-aid rooms do not apply to certain Forestry sector establishments. The first effective date of the document that makes the change is December 23, 2021. More information about the change, including any additional effective dates, is available &lt;a href="http://www2.publicationsduquebec.gouv.qc.ca/dynamicSearch/telecharge.php?type=1&amp;file=105393.pdf" target="_blank"&gt;here&lt;/a&gt;.</t>
  </si>
  <si>
    <t>RRQ,cS-2.1,r12.1-en</t>
  </si>
  <si>
    <t>Regulation respecting health and safety in forest development work</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</si>
  <si>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href="http://www2.publicationsduquebec.gouv.qc.ca/dynamicSearch/telecharge.php?type=1&amp;file=105393.pdf" target="_blank"&gt;here&lt;/a&gt;.</t>
  </si>
  <si>
    <t>CA-SC2021,c23</t>
  </si>
  <si>
    <t>Budget Implementation Act, 2021, No. 1</t>
  </si>
  <si>
    <t>CA-SC2021,c26</t>
  </si>
  <si>
    <t>An Act to provide further support in response to COVID-19</t>
  </si>
  <si>
    <t>CA-QC-SQ2021,c13</t>
  </si>
  <si>
    <t>An Act to assist persons who are victims of criminal offences and to facilitate their recovery</t>
  </si>
  <si>
    <t>CA-QC-IN(A)2021-10-31</t>
  </si>
  <si>
    <t>Information note (Acts) 2021-10-31</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</si>
  <si>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href="http://legisquebec.gouv.qc.ca/pdf/IN%20S_2021.pdf" target="_blank"&gt;here&lt;/a&gt;.</t>
  </si>
  <si>
    <t>CA-SC2021,c27</t>
  </si>
  <si>
    <t>An Act to amend the Criminal Code and the Canada Labour Code</t>
  </si>
  <si>
    <t>RRQ,cQ-2,r28</t>
  </si>
  <si>
    <t>Ministerial Order concerning the fees payable under the Environment Quality Act</t>
  </si>
  <si>
    <t>CA-QC-Vol.153,No.50(5072)</t>
  </si>
  <si>
    <t>Regulation respecting the fees payable with respect to the environmental authorization scheme and other fees</t>
  </si>
  <si>
    <t>This document is being replaced with the Regulation respecting the fees payable with respect to the environmental authorization scheme and other fees (CA-QC-Vol.153,No.50(5072)). The first effective date of the document that makes the change is December 31, 2021. More information about the change, including any additional effective dates, is available &lt;a href="http://www2.publicationsduquebec.gouv.qc.ca/dynamicSearch/telecharge.php?type=1&amp;file=105390.pdf" target="_blank"&gt;here&lt;/a&gt;.</t>
  </si>
  <si>
    <t>CA-Vol.155,No.51(5937)</t>
  </si>
  <si>
    <t>Interim Order Respecting Certain Requirements for Civil Aviation Due to COVID-19, No. 48</t>
  </si>
  <si>
    <t>This document is being replaced by the Interim Order Respecting Certain Requirements for Civil Aviation Due to COVID-19, No. 49 (CA-Vol.155,No.52(6075)). The first effective date of the document that makes the change is December 13, 2021. More information about the change, including any additional effective dates, is available &lt;a href="https://canadagazetteducanada.gc.ca/rp-pr/p1/2021/2021-12-25/html/notice-avis-eng.html#na4" target="_blank"&gt;here&lt;/a&gt;.</t>
  </si>
  <si>
    <t>CA-QC-Vol.153,No.50(711)</t>
  </si>
  <si>
    <t>Fee to register a bird of prey (Indexation notice)</t>
  </si>
  <si>
    <t>RSQ,cP-29</t>
  </si>
  <si>
    <t>Food Products Act</t>
  </si>
  <si>
    <t>CA-QC-OC1493-2021</t>
  </si>
  <si>
    <t>Act to amend mainly the Food Products Act (2021, chapter 29) —Coming into force of paragraph 7 of section 36, except subparagraph 2 of the paragraph it enacts</t>
  </si>
  <si>
    <t>A provision of an Act amending this document is coming into force on December 8, 2021. More information about the change, including any additional effective dates, is available &lt;a href="http://www2.publicationsduquebec.gouv.qc.ca/dynamicSearch/telecharge.php?type=1&amp;file=105394.pdf" target="_blank"&gt;here&lt;/a&gt; and &lt;a href="http://www2.publicationsduquebec.gouv.qc.ca/dynamicSearch/telecharge.php?type=5&amp;file=2021C29A.PDF" target="_blank"&gt;here&lt;/a&gt;.</t>
  </si>
  <si>
    <t>RRQ,cC-61.1,r78</t>
  </si>
  <si>
    <t>Regulation respecting hunting and fishing controlled zones</t>
  </si>
  <si>
    <t>CA-QC-Vol.153,No.50(721)</t>
  </si>
  <si>
    <t>Fees exigible for the practice of activities and movement on the territory of the zones of controlled exploitation (Indexation notice)</t>
  </si>
  <si>
    <t>CA-QC-MO2020-084</t>
  </si>
  <si>
    <t>CA-QC-MO2021-082</t>
  </si>
  <si>
    <t>CA-QC-MO2021-071</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</si>
  <si>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href="http://www2.publicationsduquebec.gouv.qc.ca/dynamicSearch/telecharge.php?type=1&amp;file=105441.pdf" target="_blank"&gt;here&lt;/a&gt;.</t>
  </si>
  <si>
    <t>CA-Vol.155,No.50(5698)</t>
  </si>
  <si>
    <t>Interim Order Respecting Certain Requirements for Civil Aviation Due to COVID-19, No. 45</t>
  </si>
  <si>
    <t>CA-Vol.155,No.51(5849)</t>
  </si>
  <si>
    <t>Interim Order Respecting Certain Requirements for Civil Aviation Due to COVID-19, No. 46</t>
  </si>
  <si>
    <t>This document is being replaced with the Interim Order Respecting Certain Requirements for Civil Aviation Due to COVID-19, No. 46 (CA-Vol.155,No.51(5849)). The first effective date of the document that makes the change is November 26, 2021. More information about the change, including any additional effective dates, is available &lt;a href="https://canadagazetteducanada.gc.ca/rp-pr/p1/2021/2021-12-18/html/notice-avis-eng.html#na3" target="_blank"&gt;here&lt;/a&gt;.</t>
  </si>
  <si>
    <t>CA-Vol.155,No.51(5889)</t>
  </si>
  <si>
    <t>Interim Order Respecting Certain Requirements for Civil Aviation Due to COVID-19, No. 47</t>
  </si>
  <si>
    <t>This document is being replaced with the Interim Order Respecting Certain Requirements for Civil Aviation Due to COVID-19, No. 47 (CA-Vol.155,No.51(5889)). The first effective date of the document that makes the change is November 30, 2021. More information about the change, including any additional effective dates, is available &lt;a href="https://canadagazetteducanada.gc.ca/rp-pr/p1/2021/2021-12-18/html/notice-avis-eng.html#nc1" target="_blank"&gt;here&lt;/a&gt;.</t>
  </si>
  <si>
    <t>This document is being replaced with the Interim Order Respecting Certain Requirements for Civil Aviation Due to COVID-19, No. 48 (CA-Vol.155,No.51(5937)). The first effective date of the document that makes the change is November 30, 2021. More information about the change, including any additional effective dates, is available &lt;a href="https://canadagazetteducanada.gc.ca/rp-pr/p1/2021/2021-12-18/html/notice-avis-eng.html#ne1" target="_blank"&gt;here&lt;/a&gt;.</t>
  </si>
  <si>
    <t>CA-BC-BCReg336/2021</t>
  </si>
  <si>
    <t>Freedom of Information and Protection of Privacy Act 2021-12-21 Amendments</t>
  </si>
  <si>
    <t>CA-BC-BCReg335/2021</t>
  </si>
  <si>
    <t>Violation Ticket Administration and Fines Regulation 2021-12-21 Amendments</t>
  </si>
  <si>
    <t>CA-BC-BCReg346/2021</t>
  </si>
  <si>
    <t>Freedom of Information and Protection of Privacy Act 2021-12-31 Amendments</t>
  </si>
  <si>
    <t>CA-BC-BCReg331/2021</t>
  </si>
  <si>
    <t>Motor Vehicle Prohibition Regulation 2021-12-21 Amendments</t>
  </si>
  <si>
    <t>CA-Vol.155,No.48(5408)</t>
  </si>
  <si>
    <t>Interim Order Respecting Certain Requirements for Civil Aviation Due to COVID-19, No. 44</t>
  </si>
  <si>
    <t>This document is being replaced with the Interim Order Respecting Certain Requirements for Civil Aviation Due to COVID-19, No. 45 (CA-Vol.155,No.50(5698)). The first effective date of the document that makes the change is November 23, 2021. More information about the change, including any additional effective dates, is available &lt;a href="https://canadagazetteducanada.gc.ca/rp-pr/p1/2021/2021-12-11/html/notice-avis-eng.html#nb3" target="_blank"&gt;here&lt;/a&gt;.</t>
  </si>
  <si>
    <t>CA-Vol.155,No.49(5476)</t>
  </si>
  <si>
    <t>Interim Order Respecting Certain Flooded Areas in British Columbia, 2021</t>
  </si>
  <si>
    <t>This document is being replaced by the Interim Order Respecting Certain Flooded Areas in British Columbia, 2021, No. 2 (CA-Vol.155,No.50(5739)). The effect of the change is to (1) modify the list of waters in which the operation of a vessel is prohibited, and (2) provide that the prohibitions in this Order do not apply to persons operating vessels in the course of conducting repair, demolition, or construction of infrastructure related to the floods. The first effective date of the document that makes the change is November 30, 2021. More information about the change, including any additional effective dates, is available &lt;a href="https://canadagazetteducanada.gc.ca/rp-pr/p1/2021/2021-12-11/html/index-eng.html" target="_blank"&gt;here&lt;/a&gt;.</t>
  </si>
  <si>
    <t>CA-Vol.155,No.46(5349)</t>
  </si>
  <si>
    <t>Interim Order No. 7 Respecting Passenger Vessel Restrictions Due to the Coronavirus Disease 2019 (COVID-19)</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</si>
  <si>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href="https://canadagazetteducanada.gc.ca/rp-pr/p1/2021/2021-12-11/html/notice-avis-eng.html#nd2" target="_blank"&gt;here&lt;/a&gt;.</t>
  </si>
  <si>
    <t>CA-AB-AR217/2021</t>
  </si>
  <si>
    <t>CA-AB-AR218/2021</t>
  </si>
  <si>
    <t>CA-AB-AR220/2021</t>
  </si>
  <si>
    <t>CA-AB-AR221/2021</t>
  </si>
  <si>
    <t>CA-AB-AR232/2021</t>
  </si>
  <si>
    <t>CA-AB-AR225/2021</t>
  </si>
  <si>
    <t>CA-AB-RSA2000,cL-1</t>
  </si>
  <si>
    <t>CA-AB-Vol.117,No.24(1099)</t>
  </si>
  <si>
    <t>Proclamation of Restoring Balance in Alberta’s Workplaces Act, 2020, s. 11(1), (7)-(12), (32)(a), (33)(b)(i),(ii), 12(1)-(3), 13, 14(1)-(3), 15(1)-(7)</t>
  </si>
  <si>
    <t>Provisions of an Act amending this document are coming into force February 1, 2022 and August 1, 2022. Subsequent to that announcement, no customers were tracking changes to this document. As a result, no analysis of the change is available in the language that you have selected. More information about the change is available &lt;a href="https://www.qp.alberta.ca/documents/gazette/2021/pdf/24_Dec31_Part1.pdf" target="_blank"&gt;here&lt;/a&gt;.</t>
  </si>
  <si>
    <t>RSA2000,cE-12</t>
  </si>
  <si>
    <t>Environmental Protection and Enhancement Act</t>
  </si>
  <si>
    <t>An Act amending this document is coming into force on December 31, 2021. The effect of this change is notably to (1) revise the definition of "well" to include wells as defined in the Geothermal Resource Development Act (CA-AB-SA2020,cG-5.5), and (2) include the construction, operation or reclamation of a plant, structure or thing for the recovery, transfer, injection or storage of natural heat from the earth for the purpose of heating in the Schedule of Activities. More information about the change, including any additional effective dates, is available &lt;a href="https://www.qp.alberta.ca/documents/gazette/2021/pdf/24_Dec31_Part1.pdff" target="_blank"&gt;here&lt;/a&gt;.</t>
  </si>
  <si>
    <t>CA-AB-Vol.117,No.24(1095)</t>
  </si>
  <si>
    <t>Proclamation of the Municipal Government (Restoring Tax Accountability) Amendment Act, 2021</t>
  </si>
  <si>
    <t>CA-AB-AltaReg351/2003</t>
  </si>
  <si>
    <t>Exemption Regulation</t>
  </si>
  <si>
    <t>CA-AB-AR241/2021</t>
  </si>
  <si>
    <t>Exemption Amendment Regulation</t>
  </si>
  <si>
    <t>A change to this document has been announced. The effect of this change is notably to revise the list of elevating devices exempt from the Safety Codes Act (RSA2000,cS-1) by (1) incorporating by reference the definitions of certain lifting devices as prescribed by other regulations, the American Society of Mechanical Engineers (ASME), and the Canadian Standards Association (CSA), (2) adding automatic transfer devices, marine elevators, and wind turbine tower elevators, as defined, to the list and (3) replacing a reference to an obsolete regulation in reference to elevating devices in mines. The first effective date of the document that makes the change is December 8, 2021. More information about the change, including any additional effective dates, is available &lt;a href="https://www.qp.alberta.ca/documents/gazette/2021/pdf/24_Dec31_Part2.pdf" target="_blank"&gt;here&lt;/a&gt;.</t>
  </si>
  <si>
    <t>CA-AB-AltaReg291/2006</t>
  </si>
  <si>
    <t>Peace Officer Regulation</t>
  </si>
  <si>
    <t>CA-AB-AR244/2021</t>
  </si>
  <si>
    <t>Peace Officer Amendment Regulation</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</si>
  <si>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href="https://www.qp.alberta.ca/documents/gazette/2021/pdf/24_Dec31_Part2.pdf" target="_blank"&gt;here&lt;/a&gt;.</t>
  </si>
  <si>
    <t>CA-AB-AR253/2021</t>
  </si>
  <si>
    <t>CA-AB-AR257/2021</t>
  </si>
  <si>
    <t>CA-AB-AR261/2021</t>
  </si>
  <si>
    <t>Procedures (Gaming, Liquor and Cannabis) Amendment Regulation</t>
  </si>
  <si>
    <t>Alta.Reg.192/1996</t>
  </si>
  <si>
    <t>Waste Control Regulation</t>
  </si>
  <si>
    <t>CA-AB-AR259/2021</t>
  </si>
  <si>
    <t>Waste Control Amendment Regulation</t>
  </si>
  <si>
    <t>A change to this document has been announced. The effect of this change is notably to (1) revise the definition of "dispose" to include "discharge, deposit, dump, throw, drop, discard, abandon, spill, leak, pump, pour, emit or empty," (2) replace the term "mail" with "send" in certain requirements for the submission of waste manifest documents, and (3) adopt by reference the Code of Practice for Hydrovac Facilities (CA-AB-COP-HF). The first effective date of the document that makes the change is December 15, 2021. More information about the change, including any additional effective dates, is available &lt;a href="https://www.qp.alberta.ca/documents/gazette/2021/pdf/24_Dec31_Part2.pdf" target="_blank"&gt;here&lt;/a&gt;.</t>
  </si>
  <si>
    <t>CA-NB-SNB2021,c41</t>
  </si>
  <si>
    <t>An Act to Amend the Pension Benefits Act</t>
  </si>
  <si>
    <t>CA-ON-OReg876/21</t>
  </si>
  <si>
    <t>Prescribed Trades and Related Matters</t>
  </si>
  <si>
    <t>CA-ON-OReg875/21</t>
  </si>
  <si>
    <t>Scopes of Practice</t>
  </si>
  <si>
    <t>CA-ON-OReg873/21</t>
  </si>
  <si>
    <t>Definition of Journeyperson</t>
  </si>
  <si>
    <t>CA-ON-OReg872/21</t>
  </si>
  <si>
    <t>Administrative Penalties and Compliance Orders</t>
  </si>
  <si>
    <t>CA-ON-OReg849/21</t>
  </si>
  <si>
    <t>Prescribed Hazards</t>
  </si>
  <si>
    <t>CA-QC-SQ2021,c38</t>
  </si>
  <si>
    <t>An Act to postpone the coming into force of certain provisions of the Act to transfer responsibility for the registry of lobbyists to the Lobbyists Commissioner and to implement the Charbonneau Commission recommendation on the prescription period for bringing penal proceedings</t>
  </si>
  <si>
    <t>CQLRcA-2.1</t>
  </si>
  <si>
    <t>Act Respecting Access to Documents Held by Public Bodies and the Protection of Personal Information</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</si>
  <si>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href="http://www2.publicationsduquebec.gouv.qc.ca/dynamicSearch/telecharge.php?type=5&amp;file=2021C38A.PDF" target="_blank"&gt;here&lt;/a&gt;.</t>
  </si>
  <si>
    <t>CA-PE-PEIRegEC831/94</t>
  </si>
  <si>
    <t>Workers Compensation Act General Regulations</t>
  </si>
  <si>
    <t>CA-PE-EC2021-1045</t>
  </si>
  <si>
    <t>Workers Compensation Act General Regulations Amendment</t>
  </si>
  <si>
    <t>CA-PE-RSPEI1988,cW-7.1</t>
  </si>
  <si>
    <t>CA-PE-Vol.147,No.52(2183)</t>
  </si>
  <si>
    <t>Proclamation of An Act to Amend the Workers Compensation Act</t>
  </si>
  <si>
    <t>An Act amending this document is coming into force December 25, 2021. The effect of this change is notably to (1) revise the definition of "worker" to include persons who work under a contract of service contract or apprenticeship, (2) require that pre-existing conditions at the time of an accident causing personal injury to a worker are treated equally to the accident-related injury with respect to compensation, and (3) clarify the return-to-work and re-employment provisions for the contruction industry. More information about the change, including any additional effective dates, is available &lt;a href="https://www.princeedwardisland.ca/sites/default/files/publications/royal_gazette/rg_issue_52-december_25_2021_complete.pdf" target="_blank"&gt;here&lt;/a&gt;.</t>
  </si>
  <si>
    <t>CA-NT-R-080-2021</t>
  </si>
  <si>
    <t>SO2009,c22</t>
  </si>
  <si>
    <t>Ontario College of Trades and Apprenticeship Act</t>
  </si>
  <si>
    <t>CA-ON-Vol.155-01(003)(2)</t>
  </si>
  <si>
    <t>Proclamation of Making Ontario Open for Business Act, 2018, Sched. 3, s. 15</t>
  </si>
  <si>
    <t>Provisions of an Act repealing this document are coming into force on January 1, 2022. More information about the change, including any additional effective dates, is available &lt;a href="https://files.ontario.ca/books/ontariogazette_155-01.pdf" target="_blank"&gt;here&lt;/a&gt;.</t>
  </si>
  <si>
    <t>CA-ON-SO2019,c7,Sch40</t>
  </si>
  <si>
    <t>Modernizing the Skilled Trades and Apprenticeship Act, 2019</t>
  </si>
  <si>
    <t>CA-ON-Vol.155-01(002)</t>
  </si>
  <si>
    <t>Proclamation of Building Opportunities in the Skilled Trades Act, 2021, s. 1-66, 68, 70</t>
  </si>
  <si>
    <t>This document is being replaced by Building Opportunities in the Skilled Trades Act, 2021 (CA-ON-SO2021,c28). The first effective date of the document that makes the change is January 1, 2022. More information about the change, including any additional effective dates, is available &lt;a href="https://files.ontario.ca/books/ontariogazette_155-01.pdf" target="_blank"&gt;here&lt;/a&gt; and &lt;a href="https://canlii.ca/t/b9kx" target="_blank"&gt;here&lt;/a&gt;.</t>
  </si>
  <si>
    <t>SO1998,c15,SchA</t>
  </si>
  <si>
    <t>CA-ON-Vol.155-01(004)(2)</t>
  </si>
  <si>
    <t>Proclamation of Supporting Broadband and Infrastructure Expansion Act, 2021, Sched. 2, s. 7, 9, 10</t>
  </si>
  <si>
    <t>CA-ON-Vol.155-01(004)(1)</t>
  </si>
  <si>
    <t>Proclamation of Protecting What Matters Most Act (Budget Measures), 2019 Sched. 40, s. 64</t>
  </si>
  <si>
    <t>RSO1990,cE.18</t>
  </si>
  <si>
    <t>Environmental Assessment Act</t>
  </si>
  <si>
    <t>CA-ON-Vol.155-01(003)(1)</t>
  </si>
  <si>
    <t>Proclamation of COVID-19 Economic Recovery Act, 2020, Sched. 6, s. 22</t>
  </si>
  <si>
    <t>CA-ON-SO2021,c28</t>
  </si>
  <si>
    <t>Building Opportunities in the Skilled Trades Act, 2021</t>
  </si>
  <si>
    <t>Parts of this Act are coming into force on January 1, 2022. It sets out provisions regarding the practice of trades in Ontario and apprenticeship training and certification, and provides that trades may be prescribed as compulsory trades whose practice are subject to specific prohibitions. More information about the change, including any additional effective dates, is available &lt;a href="https://files.ontario.ca/books/ontariogazette_155-01.pdf" target="_blank"&gt;here&lt;/a&gt; and &lt;a href="https://canlii.ca/t/b9kx" target="_blank"&gt;here&lt;/a&gt;.</t>
  </si>
  <si>
    <t>CA-ON-Vol.155-01(001)</t>
  </si>
  <si>
    <t>Proclamation of Better for People, Smarter for Business Act, 2020, Schedule 8, s. 3 (2), 4, 8, 9</t>
  </si>
  <si>
    <t>O.Reg.104/14</t>
  </si>
  <si>
    <t>Ratios of Journeypersons to Apprentices</t>
  </si>
  <si>
    <t>CA-ON-OReg879/21</t>
  </si>
  <si>
    <t>O.Reg.97/13</t>
  </si>
  <si>
    <t>Professional Misconduct</t>
  </si>
  <si>
    <t>This document is being repealed. The first effective date of the document that makes the change is January 1, 2022. More information about the change, including any additional effective dates, is available &lt;a href="https://www.ontario.ca/laws/regulation/r21879" target="_blank"&gt;here&lt;/a&gt;.</t>
  </si>
  <si>
    <t>O.Reg.421/12</t>
  </si>
  <si>
    <t>General-Ontario College of Trades and Apprenticeship</t>
  </si>
  <si>
    <t>CA-ON-OReg275/11</t>
  </si>
  <si>
    <t>Scope of Practice - Trades in the Construction Sector</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</si>
  <si>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href="https://www.ontario.ca/laws/regulation/r21879" target="_blank"&gt;here&lt;/a&gt;.</t>
  </si>
  <si>
    <t>CA-ON-OReg884/21</t>
  </si>
  <si>
    <t>CA-ON-OReg868/21</t>
  </si>
  <si>
    <t>CA-ON-OReg867/21</t>
  </si>
  <si>
    <t>CA-ON-Vol.155-01(006)</t>
  </si>
  <si>
    <t>Proclamation of Working for Workers Act, 2021, Sched. 6, s. 1-5</t>
  </si>
  <si>
    <t>CA-ON-Vol.155-01(005)</t>
  </si>
  <si>
    <t>Proclamation of Supporting Recovery and Competitiveness Act, 2021, Sched. 14, s. 1-11, 14 (1)-(3), 16</t>
  </si>
  <si>
    <t>OReg555/06</t>
  </si>
  <si>
    <t>Hours of Service</t>
  </si>
  <si>
    <t>CA-ON-OReg888/21</t>
  </si>
  <si>
    <t>Amending O. Reg. 555/06 (Hours of Service)</t>
  </si>
  <si>
    <t>CA-ON-OReg886/21</t>
  </si>
  <si>
    <t>CA-ON-OReg885/21</t>
  </si>
  <si>
    <t>CA-ON-OReg892/21</t>
  </si>
  <si>
    <t>CA-ON-OReg891/21</t>
  </si>
  <si>
    <t>Amending O. Reg. 424/97 (Commercial Motor Vehicle Operators' Information)</t>
  </si>
  <si>
    <t>CA-ON-OReg911/21</t>
  </si>
  <si>
    <t>CA-ON-OReg908/21</t>
  </si>
  <si>
    <t>CA-ON-OReg508/18</t>
  </si>
  <si>
    <t>Designations Under Part II.3 of the Act</t>
  </si>
  <si>
    <t>CA-ON-OReg898/21</t>
  </si>
  <si>
    <t>Amending O. Reg. 508/18 (Designations Under Part II.3 of the Act)</t>
  </si>
  <si>
    <t>A change to this document has been announced. The effect of this change is to add the Building Opportunities in the Skilled Trades Act, 2021 (CA-ON-SO2021,c28) to the list of enactments that designated renewable energy projects may not receive exemptions from their requirements. The first effective date of the document that makes the change is January 1, 2022. More information about the change, including any additional effective dates, is available &lt;a href="https://www.ontario.ca/laws/regulation/r21898" target="_blank"&gt;here&lt;/a&gt;.</t>
  </si>
  <si>
    <t>O.Reg.570/05</t>
  </si>
  <si>
    <t>Licensing of Electrical Contractors and Master Electricians</t>
  </si>
  <si>
    <t>CA-ON-OReg896/21</t>
  </si>
  <si>
    <t>Amending O. Reg. 570/05 (Licensing of Electrical Contractors and Master Electricians)</t>
  </si>
  <si>
    <t>A change to this document has been announced. The effect of this change is to replace references to obsolete legislation with the Building Opportunities in the Skilled Trades Act, 2021 (CA-ON-SO2021,c28) in the definition of a "provisional certificate of qualification," and as it relates to exemptions to these regulations for certain types of electrical work. The first effective date of the document that makes the change is January 1, 2022. More information about the change, including any additional effective dates, is available &lt;a href="https://www.ontario.ca/laws/regulation/r21896" target="_blank"&gt;here&lt;/a&gt;.</t>
  </si>
  <si>
    <t>CA-ON-OReg63/09</t>
  </si>
  <si>
    <t>General (Pesticides)</t>
  </si>
  <si>
    <t>CA-ON-OReg893/21</t>
  </si>
  <si>
    <t>Amending O. Reg. 63/09 (General)</t>
  </si>
  <si>
    <t>A change to this document has been announced. The effect of this change is to replace references to obsolete legislation with the Building Opportunities in the Skilled Trades Act, 2021 (CA-ON-SO2021,c28), as it relates to arborists qualified to give an opinion on the use of unlisted pesticides for maintaining a tree's health. The first effective date of the document that makes the change is January 1, 2022. More information about the change, including any additional effective dates, is available &lt;a href="https://www.ontario.ca/laws/regulation/r21893" target="_blank"&gt;here&lt;/a&gt;.</t>
  </si>
  <si>
    <t>CA-ON-OReg2/22</t>
  </si>
  <si>
    <t>Amending O. Reg. 263/20 (Rules for Areas in Step 2)</t>
  </si>
  <si>
    <t>CA-ON-OReg1/22</t>
  </si>
  <si>
    <t>CA-SK-SS2021,c36</t>
  </si>
  <si>
    <t>The Public Health (Safe Access to Hospitals) Amendment Act, 2021</t>
  </si>
  <si>
    <t>CA-SK-SS2013,cS-15.1</t>
  </si>
  <si>
    <t>Saskatchewan Employment Act</t>
  </si>
  <si>
    <t>CA-SK-SS2021,c38</t>
  </si>
  <si>
    <t>The Saskatchewan Employment Amendment Act, 2021</t>
  </si>
  <si>
    <t>An Act amending this document is coming into force January 1, 2022. The effect of this change is notably to (1) revise the definition of "harassment" to include any conduct of a sexual nature, (2) revise the definition of "worker" to include independent and dependent contract workers, students, and volunteers, and (3) add provisions to protect employers from liability under COVID-19 measures. More information about the change, including any additional effective dates, is available &lt;a href="https://publications.saskatchewan.ca/api/v1/products/115781/formats/131537/download" target="_blank"&gt;here&lt;/a&gt;.</t>
  </si>
  <si>
    <t>CA-SK-Vol.117,No.51(3898)</t>
  </si>
  <si>
    <t>Proclamation of The Miscellaneous Municipal Statutes Amendment Act, 2020, s. 2-48, 3-51, 4-42</t>
  </si>
  <si>
    <t>CA-SK-Vol.117,No.51(3899)</t>
  </si>
  <si>
    <t>Proclamation of The Saskatchewan Employment Amendment Act, 2021</t>
  </si>
  <si>
    <t>RRScN-5.2.Reg1</t>
  </si>
  <si>
    <t>The Northern Municipalities Regulations</t>
  </si>
  <si>
    <t>CA-SK-SR130/2021</t>
  </si>
  <si>
    <t>The Northern Municipalities (Boards of Revision) Amendment Regulations, 2021</t>
  </si>
  <si>
    <t>CA-SK-SR129/2021</t>
  </si>
  <si>
    <t>The Municipalities (Boards of Revision) Amendment Regulations, 2021</t>
  </si>
  <si>
    <t>CA-ON-OReg851/21</t>
  </si>
  <si>
    <t>O.Reg.240/00</t>
  </si>
  <si>
    <t>Advanced Exploration, Mine Development and Closure Under Part VII of the Act</t>
  </si>
  <si>
    <t>CA-ON-OReg850/21</t>
  </si>
  <si>
    <t>Amending O. Reg. 240/00 (Mine Development and Closure Under Part VII of the Act)</t>
  </si>
  <si>
    <t>A change to this document has been announced. The effect of the changes is notably to (1) change the title of the document; (2) replace the surface and ground water chemical monitoring for ammonium by monitoring for ammonia; and (3) update the manual that should be used to conduct a sampling program "to sample all materials remaining on the site that have been excavated, exposed or otherwise disturbed by mining activities". The first effective date of the document that makes the change is January 1, 2022. More information about the change, including any additional effective dates, is available &lt;a href="https://www.ontario.ca/laws/regulation/r21850" target="_blank"&gt;here&lt;/a&gt;.</t>
  </si>
  <si>
    <t>OReg152/18</t>
  </si>
  <si>
    <t>Request for Order to Comply with Part II</t>
  </si>
  <si>
    <t>CA-ON-OReg855/21</t>
  </si>
  <si>
    <t>Revoking O. Reg. 152/18 (Request for Order to Comply with Part II)</t>
  </si>
  <si>
    <t>This document is being repealed. The first effective date of the document that makes the change is December 14, 2021. More information about the change, including any additional effective dates, is available &lt;a href="https://www.ontario.ca/laws/regulation/r21855" target="_blank"&gt;here&lt;/a&gt;.</t>
  </si>
  <si>
    <t>CA-ON-OReg857/21</t>
  </si>
  <si>
    <t>CA-ON-OReg865/21</t>
  </si>
  <si>
    <t>CA-ON-OReg863/21</t>
  </si>
  <si>
    <t>CA-AB-AR214/2021</t>
  </si>
  <si>
    <t>Drivers' Hours of Service Amendment Regulation</t>
  </si>
  <si>
    <t>CA-AB-AR213/2021</t>
  </si>
  <si>
    <t>CA-AB-AR216/2021</t>
  </si>
  <si>
    <t>Off-Highway Vehicle Amendment Regulation</t>
  </si>
  <si>
    <t>CA-QC-OC1419-2021</t>
  </si>
  <si>
    <t>CA-BC-BCReg304/2021</t>
  </si>
  <si>
    <t>Motor Vehicle Act Regulations 2021-11-29 Amendments; Motor Vehicle Amendment Act, 2020, S.B.C. 2020, c. 9 — sections 3, 4, 6, 7, 8 and 16 in force January 1, 2022</t>
  </si>
  <si>
    <t>CA-BC-BCReg293/2021</t>
  </si>
  <si>
    <t>Employment Standards Regulation 2021-11-24 Amendments</t>
  </si>
  <si>
    <t>RRScU-1.2Reg5</t>
  </si>
  <si>
    <t>Uniform Building and Accessibility Standards Regulations</t>
  </si>
  <si>
    <t>CA-SK-SR124/2021</t>
  </si>
  <si>
    <t>The Building Code Regulations</t>
  </si>
  <si>
    <t>This document is being replaced by The Building Code Regulations (CA-SK-SR124/2021). The first effective date of the document that makes the change is January 1, 2022. More information about the change, including any additional effective dates, is available &lt;a href="https://publications.saskatchewan.ca/api/v1/products/115585/formats/131250/download" target="_blank"&gt;here&lt;/a&gt;.</t>
  </si>
  <si>
    <t>CA-QC-OC1420-2021</t>
  </si>
  <si>
    <t>Regulation to amend the Safety Code</t>
  </si>
  <si>
    <t>CA-ON-OReg556/20</t>
  </si>
  <si>
    <t>Exemptions</t>
  </si>
  <si>
    <t>CA-ON-OReg804/21</t>
  </si>
  <si>
    <t>Amending O. Reg. 556/20 (Exemptions)</t>
  </si>
  <si>
    <t>A change to this document has been announced. The effect of this change is to remove the exemption from requirements to submit documents electronically to the Ministry of Environment, Conservation and Parks concerning certain electricity, waste management, and transit projects. The first effective date of the document that makes the change is January 1, 2022. More information about the change, including any additional effective dates, is available &lt;a href="https://www.ontario.ca/laws/regulation/r21804" target="_blank"&gt;here&lt;/a&gt;.</t>
  </si>
  <si>
    <t>CA-ON-OReg845/21</t>
  </si>
  <si>
    <t>CA-ON-OReg844/21</t>
  </si>
  <si>
    <t>Amending O. Reg. 82/20 (Rules for Areas in Shutdown Zone and at Step 1)</t>
  </si>
  <si>
    <t>CA-ON-OReg843/21</t>
  </si>
  <si>
    <t>CA-ON-OReg835/21</t>
  </si>
  <si>
    <t>O.Reg.267/03</t>
  </si>
  <si>
    <t>General - Nutrient Management Act, 2002</t>
  </si>
  <si>
    <t>CA-ON-OReg848/21</t>
  </si>
  <si>
    <t>Amending O. Reg. 267/03 (General)</t>
  </si>
  <si>
    <t>CA-BC-BCReg291/2021</t>
  </si>
  <si>
    <t>Workers Compensation Act 2021-11-23 Amendments</t>
  </si>
  <si>
    <t>O.Reg.79/15</t>
  </si>
  <si>
    <t>Alternative Low-Carbon Fuels</t>
  </si>
  <si>
    <t>CA-ON-OReg824/21</t>
  </si>
  <si>
    <t>Amending O. Reg. 79/15 (Alternative Low-Carbon Fuels)</t>
  </si>
  <si>
    <t>CA-SC2021,c24</t>
  </si>
  <si>
    <t>An Act to amend the Criminal Code (conversion therapy)</t>
  </si>
  <si>
    <t>O.Reg.164/99</t>
  </si>
  <si>
    <t>Electrical Safety Code</t>
  </si>
  <si>
    <t>CA-ON-OReg777/21</t>
  </si>
  <si>
    <t>Amending O. Reg. 164/99 (Electrical Safety Code)</t>
  </si>
  <si>
    <t>A change to this document has been announced. The effect of the changes is to update the reference to the documents constituting the Electrical Safety Code. The first effective date of the document that makes the change is May 5, 2022. More information about the change, including any additional effective dates, is available &lt;a href="https://www.ontario.ca/laws/regulation/r21777" target="_blank"&gt;here&lt;/a&gt;.</t>
  </si>
  <si>
    <t>SNL2004,cL-24.1</t>
  </si>
  <si>
    <t>Lobbyist Registration Act</t>
  </si>
  <si>
    <t>A change to this document has been announced. The first effective date of the document that makes the change has not yet been announced. More information about the change, including any additional effective dates, is available &lt;a href="https://www.assembly.nl.ca/HouseBusiness/Bills/ga50session1/bill2136.htm" target="_blank"&gt;here&lt;/a&gt;.</t>
  </si>
  <si>
    <t>O.Reg.53/05</t>
  </si>
  <si>
    <t>Payments Under Section 78.1 of the Act</t>
  </si>
  <si>
    <t>CA-ON-OReg739/21</t>
  </si>
  <si>
    <t>Amending O. Reg. 53/05 (Payments Under Section 78.1 of the Act)</t>
  </si>
  <si>
    <t>CA-ON-OReg734/21</t>
  </si>
  <si>
    <t>CA-SK-SR114/2021</t>
  </si>
  <si>
    <t>The Wildlife (Trespass to Property) Amendment Regulations, 2021</t>
  </si>
  <si>
    <t>CA-NL-SNL2021,c16</t>
  </si>
  <si>
    <t>An Act to Amend the Revenue Administration Act No. 3</t>
  </si>
  <si>
    <t>CA-ON-OReg715/21</t>
  </si>
  <si>
    <t>TCE-54</t>
  </si>
  <si>
    <t>Rules Respecting Track Safety</t>
  </si>
  <si>
    <t>A new version of this document has been announced: Rules Respecting Track Safety 2021 version (CA-TCE-54-2021). The first effective date of the document that makes the change is February 1, 2022. More information about the change, including any additional effective dates, is available &lt;a href="https://tc.canada.ca/sites/default/files/2021-10/rules-respecting-track-safety-may-31-2021.pdf" target="_blank"&gt;here&lt;/a&gt;.</t>
  </si>
  <si>
    <t>O.Reg354/16</t>
  </si>
  <si>
    <t>General- Invasive Species Act</t>
  </si>
  <si>
    <t>CA-ON-OReg702/21</t>
  </si>
  <si>
    <t>Amending O. Reg. 354/16 (General)</t>
  </si>
  <si>
    <t>A change to this document has been announced. The effect of the changes is notably to (1) add 2 tables to the list of prescribed invasive species, one for insects considered prohibited invasive species, and one for mammals considered restricted invasive species; (2) modify the list of additional prohibited activities with respect to restricted invasive species; (3) add the Prussian Carp and the Trench to the list of fish that can be exempted from certain prohibitions when dead and eviscerated; (4) create a list of species that can be exempted from certain prohibitions when dead and prepared for human consumption, and add the Red Swamp Crayfish to that list; (5) create an exemption to certain prohibitions for the New Zealand mud snail when the incidental possession, transport, deposit or release of this species is in the course of carrying out dredging operations; (6) clarify restrictions applicable to pigs; (7) modify the exemptions applicable to the deposit of certain restricted invasive species; (8) prescribe carriers “capable of facilitating the movement of invasive species from one place to another” and set out requirements and restrictions applicable to those carriers; and (9) add various invasive species to the tables of restricted or prohibited invasive species. The first effective date of the document that makes the change is January 1, 2022. More information about the change, including any additional effective dates, is available &lt;a href="https://www.ontario.ca/laws/regulation/r21702" target="_blank"&gt;here&lt;/a&gt;.</t>
  </si>
  <si>
    <t>CA-QC-OC1223-2021</t>
  </si>
  <si>
    <t>CA-ON-OReg47/20</t>
  </si>
  <si>
    <t>Extending Term of Validity of Motorized Snow Vehicle Permits</t>
  </si>
  <si>
    <t>CA-ON-OReg627/21</t>
  </si>
  <si>
    <t>Revoking O. Reg. 47/20 (Extending Term of Validity of Motorized Snow Vehicle Permits)</t>
  </si>
  <si>
    <t>This document is being repealed. The first effective date of the document that makes the change is February 28, 2022. More information about the change, including any additional effective dates, is available &lt;a href="https://www.ontario.ca/laws/regulation/r21627" target="_blank"&gt;here&lt;/a&gt;.</t>
  </si>
  <si>
    <t>CA-SOR/2021-200</t>
  </si>
  <si>
    <t>Exemptions from and Modifications to Hours of Work Provisions Regulations</t>
  </si>
  <si>
    <t>CA-MB-Procl-2021-07-14</t>
  </si>
  <si>
    <t>Proclamation of The Freedom of Information and Protection of Privacy Amendment Act</t>
  </si>
  <si>
    <t>CA-AB-SA2021,cR-5.7</t>
  </si>
  <si>
    <t>Recall Act</t>
  </si>
  <si>
    <t>SS1983-84,cU-1.2</t>
  </si>
  <si>
    <t>The Uniform Building and Accessibility Standards Act</t>
  </si>
  <si>
    <t>CA-SK-SS2021,c9</t>
  </si>
  <si>
    <t>The Construction Codes Act</t>
  </si>
  <si>
    <t>This document is being replaced by The Construction Codes Act (CA-SK-SS2021,c9), effective January 1, 2022. More information about the change, including any additional effective dates, is available &lt;a href="https://publications.saskatchewan.ca/api/v1/products/115584/formats/131251/download" target="_blank"&gt;here&lt;/a&gt;.</t>
  </si>
  <si>
    <t>RSA2000,cW-15</t>
  </si>
  <si>
    <t>Workers' Compensation Act</t>
  </si>
  <si>
    <t>CA-AB-SA2021,cS-7.88</t>
  </si>
  <si>
    <t>Skilled Trades and Apprenticeship Education Act</t>
  </si>
  <si>
    <t>CCSMcF50</t>
  </si>
  <si>
    <t>The Fatal Accidents Act</t>
  </si>
  <si>
    <t>CA-MB-SM2021,c44</t>
  </si>
  <si>
    <t>The Limitations Act</t>
  </si>
  <si>
    <t>CA-MB-SM2021,c17</t>
  </si>
  <si>
    <t>The Crown Land Dispositions Act (Various Acts Amended)</t>
  </si>
  <si>
    <t>CCSMcC340</t>
  </si>
  <si>
    <t>The Crown Lands Act</t>
  </si>
  <si>
    <t>A change to this document has been announced. The first effective date of the document that makes the change has not yet been announced. More information about the change, including any additional effective dates, is available &lt;a href="https://web2.gov.mb.ca/laws/statutes/2021/c01721e.php" target="_blank"&gt;here&lt;/a&gt;.</t>
  </si>
  <si>
    <t>CA-MB-SM2015,c17</t>
  </si>
  <si>
    <t>The Technical Safety Act</t>
  </si>
  <si>
    <t>CCSMcW130</t>
  </si>
  <si>
    <t>A change to this document has been announced. The effect of this change is notably to (1) repeal provisions allowing municipalities and local governments to authorize an exemption to the prohibition on destroying beaver lodges and dams, and (2) permit the destruction or removal of a beaver dam or lodge by an owner of private land or a person authorized by the owner, if it is located within the owner's land.
 The first effective date of the document that makes the change is May 20, 2021. More information about the change, including any additional effective dates, is available &lt;a href="https://web2.gov.mb.ca/laws/statutes/2021/c04821e.php" target="_blank"&gt;here&lt;/a&gt;.</t>
  </si>
  <si>
    <t>CA-MB-CCSMcS210</t>
  </si>
  <si>
    <t>The Steam and Pressure Plants Act</t>
  </si>
  <si>
    <t>CCSMcF150</t>
  </si>
  <si>
    <t>The Forest Act</t>
  </si>
  <si>
    <t>CCSMcF80</t>
  </si>
  <si>
    <t>The Fires Prevention and Emergency Response Act</t>
  </si>
  <si>
    <t>CA-MB-CCSMcC134</t>
  </si>
  <si>
    <t>The Climate and Green Plan Implementation Act</t>
  </si>
  <si>
    <t>CA-MB-CCSMcA1.7</t>
  </si>
  <si>
    <t>The Accessibility for Manitobans Act</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</si>
  <si>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href="https://web2.gov.mb.ca/laws/statutes/2021/c01121e.php" target="_blank"&gt;here&lt;/a&gt;.</t>
  </si>
  <si>
    <t>CCSMcP20</t>
  </si>
  <si>
    <t>The Provincial Parks Act</t>
  </si>
  <si>
    <t>CCSMcP31</t>
  </si>
  <si>
    <t>The Peatlands Stewardship Act</t>
  </si>
  <si>
    <t>CCSMcN110</t>
  </si>
  <si>
    <t>The Noxious Weeds Act</t>
  </si>
  <si>
    <t>CA-MB-CCSMcF153</t>
  </si>
  <si>
    <t>The Fortified Buildings Act</t>
  </si>
  <si>
    <t>CA-MB-SM2021,c28</t>
  </si>
  <si>
    <t>The Administrative Tribunal Jurisdiction Act</t>
  </si>
  <si>
    <t>CA-MB-CCSMcH175</t>
  </si>
  <si>
    <t>The Human Rights Code</t>
  </si>
  <si>
    <t>CA-MB-SM2021,c27</t>
  </si>
  <si>
    <t>The Human Rights Code Amendment Act</t>
  </si>
  <si>
    <t>CA-PE-RSPEI1988,cP-25.1</t>
  </si>
  <si>
    <t>Provincial Court Act</t>
  </si>
  <si>
    <t>CA-ON-SO2021,c13</t>
  </si>
  <si>
    <t>Safer School Buses Act, 2021</t>
  </si>
  <si>
    <t>CA-AB-SA2021,c6</t>
  </si>
  <si>
    <t>Municipal Government (Firearms) Amendment Act, 2020</t>
  </si>
  <si>
    <t>CA-ON-OReg290/21</t>
  </si>
  <si>
    <t>CA-NS-SNS2021,c.8</t>
  </si>
  <si>
    <t>Police Identity Management Act</t>
  </si>
  <si>
    <t>CA-SOR/2021-44</t>
  </si>
  <si>
    <t>Order Amending Schedule I to the Controlled Drugs and Substances Act (Tramadol)</t>
  </si>
  <si>
    <t>CA-SK-SR18/2021</t>
  </si>
  <si>
    <t>The Municipalities (Road Maintenance Agreements) Amendment Regulations, 2021</t>
  </si>
  <si>
    <t>CA-QC-SQ2020,c20</t>
  </si>
  <si>
    <t>An Act concerning mainly the appointment and the terms of office of coroners and of the Chief Coroner</t>
  </si>
  <si>
    <t>CA-AB-SA2020,c30</t>
  </si>
  <si>
    <t>Builders’ Lien (Prompt Payment) Amendment Act, 2020</t>
  </si>
  <si>
    <t>RSO1990,cS.24</t>
  </si>
  <si>
    <t>St. Lawrence Parks Commission Act</t>
  </si>
  <si>
    <t>CA-ON-SO2020,c36,Sch7</t>
  </si>
  <si>
    <t>Credit Unions and caisses populaires Act, 2020</t>
  </si>
  <si>
    <t>SO2011,c10</t>
  </si>
  <si>
    <t>Ontario Forest Tenure Modernization Act, 2011</t>
  </si>
  <si>
    <t>A change to this document has been announced. Subsequent to that announcement, no customers were tracking changes to this document. As a result, no analysis of the change is available in the language that you have selected. More information about the change is available &lt;a href="https://www.ola.org/sites/default/files/node-files/bill/document/pdf/2020/2020-12/b229ra_e.pdf" target="_blank"&gt;here&lt;/a&gt;.</t>
  </si>
  <si>
    <t>RSS1978,cP-4</t>
  </si>
  <si>
    <t>Passenger and Freight Elevator Act</t>
  </si>
  <si>
    <t>SS1993,cE-6.3</t>
  </si>
  <si>
    <t>The Electrical Inspection Act, 1993</t>
  </si>
  <si>
    <t>CA-NB-SNB2020,c2</t>
  </si>
  <si>
    <t>CA-NT-SNWT2019,c2</t>
  </si>
  <si>
    <t>Naturopathic Profession Statutes Amendment Act</t>
  </si>
  <si>
    <t>SOR/2006-260</t>
  </si>
  <si>
    <t>Pest Control Products Incident Reporting Regulations</t>
  </si>
  <si>
    <t>CA-SOR/2019-173</t>
  </si>
  <si>
    <t>Regulations Amending the Pest Control Products Incident Reporting Regulations</t>
  </si>
  <si>
    <t>A change to this document has been announced. The effect of the change, according to the Government of Canada, is notably to 1) "exclude effects from being considered an incident if they are observed on the intended target of the pest control product"; 2) "change the classification of incidents from those affecting 'domestic animals' and those affecting 'the environment' to those affecting 'animals' and those affecting “terrestrial or aquatic plants'"; 3) "[remove] requirements for registrants and applicants to classify incidents by their degree of severity, except for the most serious cases"; 4) "eliminate the 12-month and one-month time limits for most reports, and instead require that incidents be accumulated over a 3-month period (i.e. quarterly), and then reported within 2 months from the end of that quarter", with some exceptions for serious incidents; 5) "remove reporting requirements for residues in food"; 6) "require registrants to provide all incident reports, not just those for minor incidents, that a registrant receives if they cease to be a registrant for any reason, including the transfer or cancellation of a product’s registration"; and 7) "require regulated parties to provide an annual summary when the active ingredient is implicated in at least 10 incidents involving the same subject, such as 10 incidents involving animals or 10 incidents involving humans, rather than in at least 10 incidents across all subjects". The first effective date of the document that makes the change is January 1, 2022. More information about the change, including any additional effective dates, is available at http://www.gazette.gc.ca/rp-pr/p2/2019/2019-06-12/html/sor-dors173-eng.html.</t>
  </si>
  <si>
    <t>SS1998,cW-13.12</t>
  </si>
  <si>
    <t>Wildlife Act, 1998</t>
  </si>
  <si>
    <t>CA-SK-SS2019,c27</t>
  </si>
  <si>
    <t>The Trespass to Property Consequential Amendments Act, 2019</t>
  </si>
  <si>
    <t>Provisions of an Act amending this document are coming into force on January 1, 2022. The effect of this change is notably to revise rules concerning hunting on certain lands to include prohibitions of (1) hunting on land without the owner or occupant's consent, (2) hunting any wildlife on land except in accordance with posted instructions, (3) erecting or placing a sign without the owner or occupant of land's consent, and (4) tearing down, removing, damaging, defacing, or covering up an erected sign. More information about the change, including any additional effective dates, is available &lt;a href="https://publications.saskatchewan.ca/api/v1/products/115584/formats/131251/download" target="_blank"&gt;here&lt;/a&gt;.</t>
  </si>
  <si>
    <t>RSS1978,cS-52</t>
  </si>
  <si>
    <t>Snowmobile Act</t>
  </si>
  <si>
    <t>CA-SK-SS2019,c26</t>
  </si>
  <si>
    <t>The Trespass to Property Amendment Act, 2019</t>
  </si>
  <si>
    <t>SS1990-91,cF-22.01</t>
  </si>
  <si>
    <t>An Act amending this document is coming into force January 1, 2022. Subsequent to that announcement, no customers were tracking changes to this document. As a result, no analysis of the change is available in the language that you have selected. More information about the change is available &lt;a href="https://publications.saskatchewan.ca/api/v1/products/115584/formats/131251/download" target="_blank"&gt;here&lt;/a&gt;.</t>
  </si>
  <si>
    <t>ID</t>
  </si>
  <si>
    <t>Starred</t>
  </si>
  <si>
    <t>Title</t>
  </si>
  <si>
    <t>Language</t>
  </si>
  <si>
    <t>Modified Date</t>
  </si>
  <si>
    <t>Legal Reference</t>
  </si>
  <si>
    <t>Industrial Sectors</t>
  </si>
  <si>
    <t>Document Types</t>
  </si>
  <si>
    <t>Document Status</t>
  </si>
  <si>
    <t>Legislation Good Text Retrieved</t>
  </si>
  <si>
    <t>URL Link</t>
  </si>
  <si>
    <t>Description</t>
  </si>
  <si>
    <t>Excerpt</t>
  </si>
  <si>
    <t>Publication Date</t>
  </si>
  <si>
    <t>First Effective Date</t>
  </si>
  <si>
    <t>Repeal Date</t>
  </si>
  <si>
    <t>Not Selectable?</t>
  </si>
  <si>
    <t>Publishing Authority</t>
  </si>
  <si>
    <t>Top Legislation</t>
  </si>
  <si>
    <t>Add To CO</t>
  </si>
  <si>
    <t>First Level Topics</t>
  </si>
  <si>
    <t>Second Level Topics</t>
  </si>
  <si>
    <t>Link Status</t>
  </si>
  <si>
    <t>Tracked?</t>
  </si>
  <si>
    <t>Parent</t>
  </si>
  <si>
    <t>English Document</t>
  </si>
  <si>
    <t>Amends</t>
  </si>
  <si>
    <t>CLCO Status</t>
  </si>
  <si>
    <t>Clause Classification Status</t>
  </si>
  <si>
    <t>Alternative Link 1</t>
  </si>
  <si>
    <t>Alternative Link 2</t>
  </si>
  <si>
    <t>First added date</t>
  </si>
  <si>
    <t>In Use Text ID</t>
  </si>
  <si>
    <t>Guidance Notes for the Design, Construction, Operation and Abandonment of Pressure Vessels and Pressure Piping</t>
  </si>
  <si>
    <t>EN</t>
  </si>
  <si>
    <t>Guide-DCOAPVPP</t>
  </si>
  <si>
    <t>Guidance</t>
  </si>
  <si>
    <t>CA</t>
  </si>
  <si>
    <t>Need to Scrape content!</t>
  </si>
  <si>
    <t>https://www.cer-rec.gc.ca/bts/ctrg/gnnb/prcssngplnt/gndsgncnstrctnprtn-eng.html</t>
  </si>
  <si>
    <t>These Guidance Notes apply to pressure vessels and pressure piping under the jurisdiction of the Regulator falling within the scope of the National Energy Board Processing Plant Regulations.</t>
  </si>
  <si>
    <t>D</t>
  </si>
  <si>
    <t>RSC1985,cN-7</t>
  </si>
  <si>
    <t>In Use</t>
  </si>
  <si>
    <t>In Progress</t>
  </si>
  <si>
    <t>https://www.neb-one.gc.ca/bts/ctrg/gnnb/nshrppln/index-eng.html</t>
  </si>
  <si>
    <t>Notes d’orientation concernant la conception, la construction, l’exploitation et la cessation d’expoitation des appareils et de la tuyauterie sous pression</t>
  </si>
  <si>
    <t>FR</t>
  </si>
  <si>
    <t>Guide-NOCCCEATSP</t>
  </si>
  <si>
    <t>https://www.cer-rec.gc.ca/bts/ctrg/gnnb/prcssngplnt/gndsgncnstrctnprtn-fra.html</t>
  </si>
  <si>
    <t>Les présentes Notes d’orientation s’appliquent aux appareils et à la tuyauterie sous pression relevant de la compétence de la Régie qui sont visés par le Règlement.</t>
  </si>
  <si>
    <t>https://www.neb-one.gc.ca/bts/ctrg/gnnb/nshrppln/index-fra.html</t>
  </si>
  <si>
    <t>Guidance Notes for the Design, Construction, Operation, and Abandonment of Pressure Vessels (Appendix D to the Guidance Notes for the Onshore Pipeline Regulations, 1999)</t>
  </si>
  <si>
    <t>DCOAPV-Guidance</t>
  </si>
  <si>
    <t>https://legislation.nimonikapp.com/legislations/3/legislation_texts</t>
  </si>
  <si>
    <t>https://www.cer-rec.gc.ca/en/about/acts-regulations/cer-act-regulations-guidance-notes-related-documents/onshore-pipeline/2003prssrqupmntgn-eng.pdf</t>
  </si>
  <si>
    <t>These Guidance Notes apply to pressure vessels under the jurisdiction of the Regulator falling within the scope of the National Energy Board Onshore Pipeline Regulations, 1999, SOR/99-294.  Guidance to comply with regulations related to operation and inspection, buried pressure vessels, reports, and abandonment is supplied.</t>
  </si>
  <si>
    <t>Energy Management, Equipment</t>
  </si>
  <si>
    <t>Gauge, Energy using equipment, Pipe, Gauges, Fittings, Welders, Telephones</t>
  </si>
  <si>
    <t>Done</t>
  </si>
  <si>
    <t>Notes d’orientation concernant la conception, la construction, l’exploitation et la cessation d’exploitation des appareils sous pression (Annexe D aux Notes d’orientation liées au Règlement de 1999 sur les pipelines terrestres)</t>
  </si>
  <si>
    <t>Guide-CCECdesASP</t>
  </si>
  <si>
    <t>https://legislation.nimonikapp.com/legislations/173086/legislation_texts</t>
  </si>
  <si>
    <t>https://www.cer-rec.gc.ca/bts/ctrg/gnnb/nshrppln/2003prssrqupmntgn-fra.pdf</t>
  </si>
  <si>
    <t>Les présentes notes d’orientation s’appliquent aux appareils sous pression visés par le règlement de l’office national de l’énergie sur les pipelines terrestres (DORS/99-294).  Ces notes définissent les exigences relatives à l’exploitation et l’entretien, aux vérifications et inspections, aux appareils sous pression enfouis, aux rapports ainsi qu’à la cessation d’exploitation.</t>
  </si>
  <si>
    <t>Petroleum Products Act</t>
  </si>
  <si>
    <t>RSQ,cP-30.01</t>
  </si>
  <si>
    <t>oil_and_gas, road_transportation, mining_and_minerals_industry</t>
  </si>
  <si>
    <t>Legislation</t>
  </si>
  <si>
    <t>https://legislation.nimonikapp.com/legislations/22/legislation_texts</t>
  </si>
  <si>
    <t>https://www.canlii.org/en/qc/laws/stat/rsq-c-p-30.01/latest/rsq-c-p-30.01.html</t>
  </si>
  <si>
    <t>The objects of this Act are to ensure the continuity and security of the petroleum products supply, the quality of petroleum products, and the sale price of petroleum products.</t>
  </si>
  <si>
    <t>Hazardous Materials Management, Equipment, Fines, Penalties and Sanctions</t>
  </si>
  <si>
    <t>Level, Ramp, Cables, Regulator, Bin, Ducts, Gate, Vises, Pins, Signs, Fuse, Studs, Hose, Balance, Mats, Dams, Ropes, Bit, Financial Penalty, Loading ramp, Sanction, Violation, Criminal Charge, Cap, Tables, Pens</t>
  </si>
  <si>
    <t>Loi sur les produits pétroliers</t>
  </si>
  <si>
    <t>LRQ,cP-30.01</t>
  </si>
  <si>
    <t>https://legislation.nimonikapp.com/legislations/172510/legislation_texts</t>
  </si>
  <si>
    <t>https://canlii.ca/t/ckbn</t>
  </si>
  <si>
    <t xml:space="preserve">La loi a pour objectif d'assurer le maintien du contrôle et de la sécurité des approvisionnements en produits pétroliers, d'assurer le maintien de la qualité du produit, ainsi que d'assurer le contrôle des prix de vente. La loi instaure notamment un contrôle des prix, de la qualité, et des modalités d'inspection du secteur pétrolier. Elle établit également des règles en matière de pratiques abusives liées à la vente de carburant diesel et de l'essence. </t>
  </si>
  <si>
    <t>Specified Gas Reporting Standard (2018)</t>
  </si>
  <si>
    <t>SGRS(2018)-AB</t>
  </si>
  <si>
    <t>general, oil_and_gas</t>
  </si>
  <si>
    <t>standards</t>
  </si>
  <si>
    <t>https://open.alberta.ca/dataset/c5471471-79a3-456b-a183-997692da2576/resource/20518078-a3c2-4881-b6c3-68cdff7ed5a4/download/specifiedgasreportingstandard-may28-2018.pdf</t>
  </si>
  <si>
    <t>This Standard specifies reporting requirements and methods used for various types of greenhouse gas emissions. This item has been updated and replaced by the Specified Gas Reporting Standard (Version 10.0) (CA-AB-SGRS(2018-2)).</t>
  </si>
  <si>
    <t>Environment Management, Equipment</t>
  </si>
  <si>
    <t>Reservoirs, Compressors, Loops, Level, Tables, Telephones</t>
  </si>
  <si>
    <t>RSPEI1988,cP-5.1</t>
  </si>
  <si>
    <t>oil_and_gas, utilities_and_communications</t>
  </si>
  <si>
    <t>https://legislation.nimonikapp.com/legislations/261/legislation_texts</t>
  </si>
  <si>
    <t>https://canlii.org/en/pe/laws/stat/rspei-1988-c-p-5.1/latest/rspei-1988-c-p-5.1.html</t>
  </si>
  <si>
    <t>.</t>
  </si>
  <si>
    <t>Hazardous Materials Management, Equipment, Energy Management, Fines, Penalties and Sanctions</t>
  </si>
  <si>
    <t>Compressors, Vehicle, Grease Guns, Tank, Pumps, Lights, Furnaces, Cap, Motors, Trucks, Files, Cables, Bin, Presses, Bur, Ducts, Pans, Gate, Pins, Signs, Fuse, Labels, Hose, Mats, Ropes, Energy using equipment, Bit, Bells, Financial Penalty, Sanction, Violation, Criminal Charge, Tables, Pens, Regulator, Internal combustion engine</t>
  </si>
  <si>
    <t>Gasoline Handling Act</t>
  </si>
  <si>
    <t>RSY2002,c102</t>
  </si>
  <si>
    <t>https://legislation.nimonikapp.com/legislations/264/legislation_texts</t>
  </si>
  <si>
    <t>https://canlii.org/en/yk/laws/stat/rsy-2002-c-102/latest/rsy-2002-c-102.html</t>
  </si>
  <si>
    <t>Hazardous Materials Management, Equipment</t>
  </si>
  <si>
    <t>Bin, Hose</t>
  </si>
  <si>
    <t>Canada Shipping Act, 2001</t>
  </si>
  <si>
    <t>SC2001,c26</t>
  </si>
  <si>
    <t>oil_and_gas, water_transportation</t>
  </si>
  <si>
    <t>https://legislation.nimonikapp.com/legislations/288/legislation_texts</t>
  </si>
  <si>
    <t>https://www.canlii.org/en/ca/laws/stat/sc-2001-c-26/latest/sc-2001-c-26.html</t>
  </si>
  <si>
    <t>This Act regulates shipping and navigation in Canada. It addresses various environmental issues such as spills and disposal at sea.</t>
  </si>
  <si>
    <t>Hazardous Materials Management, Safety Management, Emergency Preparedness and Response, Occupational Health, Security and Public Safety, Environment Management, Equipment, Energy Management, Fines, Penalties and Sanctions</t>
  </si>
  <si>
    <t>Flags, Radio, Labels, Aircraft, Files, Chairs, Level, Scales, Barrier, Deck, Anchors, Ballasts, Document Holders, Conveyance, Bench, Bearings, Vehicle, Cables, Regulator, Bin, Presses, Bur, Ducts, Nuts, Pans, Scale, Gate, Vises, Pins, Signs, Boom, Fuse, Studs, Hose, Floats, Bags, Balance, Lights, Mats, Train, Dams, Ropes, Energy using equipment, Bit, Trucks, Financial Penalty, Tender, Counters, Pumps, Sanction, Violation, Criminal Charge, Cap, Tables, Tags, Pens, Drill, Mill, Racks, Pipe, Tank, Reservoirs, Fixtures, Compressors</t>
  </si>
  <si>
    <t>DC</t>
  </si>
  <si>
    <t>Loi de 2001 sur la marine marchande du Canada</t>
  </si>
  <si>
    <t>LC2001,c26</t>
  </si>
  <si>
    <t>https://canlii.ca/t/cl11</t>
  </si>
  <si>
    <t>Les parties VIII et IX de la Loi concernent la prévention et les interventions en matière de pollution. Elle décrit ce qu'est un polluant et s'applique aux bâtiments dans les eaux canadiennes et aux installations de manutention d’hydrocarbures au Canada. Elles contiennent les modalités des rapports, les dispositions permettant au ministre de créer des règlements ainsi que des infractions pénales.</t>
  </si>
  <si>
    <t>Petroleum and Natural Gas Act</t>
  </si>
  <si>
    <t>RSNL1990,cP-10</t>
  </si>
  <si>
    <t>newfoundland_labrador</t>
  </si>
  <si>
    <t>https://legislation.nimonikapp.com/legislations/294/legislation_texts</t>
  </si>
  <si>
    <t>https://www.canlii.org/en/nl/laws/stat/rsnl-1990-c-p-10/latest/</t>
  </si>
  <si>
    <t xml:space="preserve">This Act concerns the ownership and development of petroleum and gas resources. It specifies the rights and duties of the holders of licenses, permits, or leases for exploration, and provides for regulation concerning the issuance, renewal, and terms of these documents. It also provides for regulation of well operations, well production, and the administration of funds to compensate for petroleum-related damages to fisheries. It contains requirements concerning the division of royalties. Finally, it specifies fees and rentals, procedures for arbitration of disputes, and penalties for offences. </t>
  </si>
  <si>
    <t>Natural Resource Management, Equipment, Energy Management, Fines, Penalties and Sanctions</t>
  </si>
  <si>
    <t>Drill, Timber, Telephones, Mill, Files, Tram, Cables, Bin, Presses, Ducts, Pans, Gate, Vises, Pins, Ovens, Signs, Fuse, Hose, Floats, Chairs, Balance, Mats, Train, Dams, Ropes, Energy using equipment, Bit, Diamond Drill, Financial Penalty, Sanction, Violation, Criminal Charge, Tables, Pens</t>
  </si>
  <si>
    <t>Carbon Capture and Storage Funding Act</t>
  </si>
  <si>
    <t>SA2009,cC-2.5</t>
  </si>
  <si>
    <t>https://legislation.nimonikapp.com/legislations/301/legislation_texts</t>
  </si>
  <si>
    <t>https://www.canlii.org/en/ab/laws/stat/sa-2009-c-c-2.5/latest/</t>
  </si>
  <si>
    <t>The act aims to encourage the development of any plans and facilities for the purpose of carbon capture and storage. The Minister of Energy is authorized to make payments out of the General revenue Fund up to a maximum of $2 000 000 000 to these ends. Further regulations may be made regarding payments made under the act.</t>
  </si>
  <si>
    <t>Signs, Mats, Cap, Gate</t>
  </si>
  <si>
    <t>Oil and Gas Activities Act</t>
  </si>
  <si>
    <t>SBC2008,c36</t>
  </si>
  <si>
    <t>https://legislation.nimonikapp.com/legislations/401/legislation_texts</t>
  </si>
  <si>
    <t>https://www.canlii.org/en/bc/laws/stat/sbc-2008-c-36/latest/</t>
  </si>
  <si>
    <t>This Act sets out the regulatory framework that governs oil and gas activity within the Province. It delegates regulatory responsibility to the Oil and Gas Commission.</t>
  </si>
  <si>
    <t>Waste Management, Natural Resource Management, Security and Public Safety, Communications and Utilities, Environment Management, Equipment, Energy Management, Fines, Penalties and Sanctions</t>
  </si>
  <si>
    <t>Drill, Reservoirs, Vehicle, Tank, Valves, Chairs, Telephones, Regulator, Files, Fixtures, Doors, Timber, Motor vehicle, Motors, Tables, Level, Boxes, Cables, Bin, Presses, Bur, Ducts, Pans, Gate, Vises, Pins, Signs, Fuse, Pipe, Studs, Hose, Plugs, Mats, Train, Dams, Ropes, Energy using equipment, Bit, Financial Penalty, Sanction, Violation, Criminal Charge, Cap, Tags, Pens</t>
  </si>
  <si>
    <t>The Biofuels Act</t>
  </si>
  <si>
    <t>CCSMcB40</t>
  </si>
  <si>
    <t>https://legislation.nimonikapp.com/legislations/542/legislation_texts</t>
  </si>
  <si>
    <t>https://www.canlii.org/en/mb/laws/stat/ccsm-c-b40/latest/ccsm-c-b40.html</t>
  </si>
  <si>
    <t>Lights, Bench, Files, Tank, Vehicle, Receptacles, Cables, Bin, Bur, Ducts, Mill, Pins, Signs, Hose, Balance, Mats, Financial Penalty, Sanction, Violation, Criminal Charge, Tables, Tags, Pens</t>
  </si>
  <si>
    <t>RSS1978,cO-2</t>
  </si>
  <si>
    <t>oil_and_gas, forestry</t>
  </si>
  <si>
    <t>https://legislation.nimonikapp.com/legislations/604/legislation_texts</t>
  </si>
  <si>
    <t>https://www.canlii.org/en/sk/laws/stat/rss-1978-c-o-2/latest/rss-1978-c-o-2.html</t>
  </si>
  <si>
    <t>This Act aims to minimize waste and prevent wasteful operations, regulate all operations for the production of oil and gas, develop, process, utilize, protect and conserve the oil and gas resources of Saskatchewan. It includes provisions regarding licenses, oil and Gas production, unit operation and prohibitions, offences and penalties.</t>
  </si>
  <si>
    <t>Drill, Reservoirs, Vehicle, Boxes, Receptacles, Bags, Bench, Files, Compressors, Level, Bearings, Handles, Lights, Cables, Bin, Presses, Bur, Ducts, Pans, Gate, Vises, Pins, Racks, Signs, Fuse, Pipe, Hose, Davits, Plugs, Chairs, Mats, Train, Dams, Ropes, Energy using equipment, Bit, Magnet, Financial Penalty, Sanction, Violation, Criminal Charge, Cap, Tables, Tags, Pens, Indicators</t>
  </si>
  <si>
    <t>https://legislation.nimonikapp.com/legislations/609/legislation_texts</t>
  </si>
  <si>
    <t>https://canlii.ca/t/824r</t>
  </si>
  <si>
    <t>This Act provides for the regulation of oil and gas extraction. It includes rules for the construction, modification, operation, maintenance, suspension, and abandonment of oil and gas wells and facilities, as well as for the production, storage, and disposal of oil and gas. It includes licensing and approval requirements and procedures and information regarding liability. It also includes rules for pipeline operators and for oil and gas purchasers and processing plants.</t>
  </si>
  <si>
    <t>Natural Resource Management, Environment Management, Equipment, Energy Management, Fines, Penalties and Sanctions</t>
  </si>
  <si>
    <t>Drill, Compressors, Regulator, Tank, Bench, Reservoirs, Pipe, Lights, Signs, Fittings, Cap, Files, Aircraft, Plugs, Cables, Bin, Presses, Bur, Ducts, Pans, Gate, Vises, Pins, Ovens, Fuse, Hose, Balance, Derrick, Mats, Anchors, Train, Dams, Ropes, Energy using equipment, Bit, Trucks, Handles, Financial Penalty, Counters, Pumps, Sanction, Violation, Criminal Charge, Tables, Tags, Pens</t>
  </si>
  <si>
    <t>The Renewable Diesel Act</t>
  </si>
  <si>
    <t>SScR-19.001</t>
  </si>
  <si>
    <t>https://legislation.nimonikapp.com/legislations/732/legislation_texts</t>
  </si>
  <si>
    <t>https://www.canlii.org/en/sk/laws/stat/ss-2012-c-r-19.001/latest/ss-2012-c-r-19.001.html</t>
  </si>
  <si>
    <t>This Act addresses the use, flending, handling and storage of blended diesel fuel, records and reporting, as well as penalties.</t>
  </si>
  <si>
    <t>Financial Penalty, Bin, Mats, Sanction, Violation, Criminal Charge, Pens</t>
  </si>
  <si>
    <t>https://legislation.nimonikapp.com/legislations/734/legislation_texts</t>
  </si>
  <si>
    <t>https://canlii.ca/t/wdp</t>
  </si>
  <si>
    <t>This Act applies to all gas installations and gas equipment, the inspection of gas installations and gas equipment, the design, manufacture, display, advertising, sale and use of gas equipment, filling plants, portable propane storage containers and the filling of propane automobile storage containers.</t>
  </si>
  <si>
    <t>Safety Management, Financial Administration, Accounting, Charges, Occupational Health, Privacy and Access to Information, Communications and Utilities, Environment Management, Equipment, Energy Management, Fines, Penalties and Sanctions</t>
  </si>
  <si>
    <t>Regulator, Tank, Fixtures, Bench, Fittings, Automobiles, Lights, Files, Bin, Ducts, Pans, Gate, Pins, Signs, Fuse, Pipe, Hose, Mats, Dams, Ropes, Energy using equipment, Bit, Financial Penalty, Sanction, Violation, Criminal Charge, Cap, Tables, Pens, Cables, Vises, Train</t>
  </si>
  <si>
    <t>Gasoline and Gasoline Blend Dispensing Flow Rate Regulations</t>
  </si>
  <si>
    <t>SOR/2000-43</t>
  </si>
  <si>
    <t>oil_and_gas, chemicals_industry, road_transportation</t>
  </si>
  <si>
    <t>https://legislation.nimonikapp.com/legislations/806/legislation_texts</t>
  </si>
  <si>
    <t>https://www.canlii.org/en/ca/laws/regu/sor-2000-43/latest/sor-2000-43.html</t>
  </si>
  <si>
    <t>These Regulations apply to gasoline and gasoline blends that contain benzene.</t>
  </si>
  <si>
    <t>Air Emissions and Ambient Air Quality, Equipment, Fines, Penalties and Sanctions</t>
  </si>
  <si>
    <t>Files, Mirrors, Tank, Vehicle, Nozzles, Signs, Financial Penalty, Cables, Presses, Mats, Dispensers, Nuts, Ropes, Tables, Pens, Pins</t>
  </si>
  <si>
    <t>SC1999,c33</t>
  </si>
  <si>
    <t>Règlement sur le débit de distribution de l'essence et de ses mélanges</t>
  </si>
  <si>
    <t>DORS/2000-43</t>
  </si>
  <si>
    <t>https://legislation.nimonikapp.com/legislations/172664/legislation_texts</t>
  </si>
  <si>
    <t>https://canlii.ca/t/cmq0</t>
  </si>
  <si>
    <t>Ce règlement s’applique à l’essence, ou à un mélange d’essence, contenant du benzène.</t>
  </si>
  <si>
    <t>Gasoline Regulations</t>
  </si>
  <si>
    <t>SOR/90-247</t>
  </si>
  <si>
    <t>https://legislation.nimonikapp.com/legislations/807/legislation_texts</t>
  </si>
  <si>
    <t>https://www.canlii.org/en/ca/laws/regu/sor-90-247/latest/sor-90-247.html</t>
  </si>
  <si>
    <t xml:space="preserve">These Regulations set the maximum concentration permitted for lead and phosphorous in gasoline. It contains record keeping and reporting requirements for any person who is producing, importing or selling leaded gasoline. </t>
  </si>
  <si>
    <t>Vehicle, Tank, Conveyance, Squares, Signs, Mats, Ducts, Ropes, Mill, Pins, Racks, Aircraft, Sanction, Violation, Criminal Charge</t>
  </si>
  <si>
    <t>Règlement sur l'essence</t>
  </si>
  <si>
    <t>DORS/90-247</t>
  </si>
  <si>
    <t>https://legislation.nimonikapp.com/legislations/172665/legislation_texts</t>
  </si>
  <si>
    <t>https://canlii.ca/t/cp35</t>
  </si>
  <si>
    <t xml:space="preserve">Ce règlement établit les concentrations maximales de plomb et de phosphore contenus dans l'essence. Il contient des exigences quant à la tenue de registre pour quiconque produit, importe ou vend de l'essence au plomb au Canada. </t>
  </si>
  <si>
    <t>oil_and_gas, chemicals_industry, financial_and_insurance</t>
  </si>
  <si>
    <t>https://legislation.nimonikapp.com/legislations/824/legislation_texts</t>
  </si>
  <si>
    <t>https://www.canlii.org/en/ca/laws/regu/sor-2010-189/latest/sor-2010-189.html</t>
  </si>
  <si>
    <t>These Regulations require an average renewable fuel content of five per cent in gasoline. The Regulations include provisions that govern the creation of compliance units, allowing trading of these units among participants and also require recordkeeping and reporting to ensure compliance.</t>
  </si>
  <si>
    <t>Files, Aircraft, Vehicle, Tank, Furnaces, Heaters, Conveyance, Lamp, Signs, Telephones</t>
  </si>
  <si>
    <t>Règlement sur les carburants renouvelables</t>
  </si>
  <si>
    <t>DORS/2010-189</t>
  </si>
  <si>
    <t>https://legislation.nimonikapp.com/legislations/172643/legislation_texts</t>
  </si>
  <si>
    <t>https://canlii.ca/t/dcpm</t>
  </si>
  <si>
    <t>Ce règlement exige que soit contenu, dans l'essence, une moyenne de 5% de carburants renouvelables. Le règlement comprend des dispositions qui régissent la création des unités de conformité, permettant leur négociation entre les participants. Est aussi exigée la tenue des dossiers et des rapports pour assurer le respect de ces négociations.</t>
  </si>
  <si>
    <t>Sulphur in Diesel Fuel Regulations</t>
  </si>
  <si>
    <t>SOR/2002/254</t>
  </si>
  <si>
    <t>https://legislation.nimonikapp.com/legislations/828/legislation_texts</t>
  </si>
  <si>
    <t>https://www.canlii.org/en/ca/laws/regu/sor-2002-254/latest/sor-2002-254.html</t>
  </si>
  <si>
    <t>The Sulphur in Diesel Fuel Regulations set maximum limits for sulphur in on-road, off-road, rail (locomotive) and marine (vessel) diesel fuels.</t>
  </si>
  <si>
    <t>Hazardous Materials Management, Equipment, Energy Management</t>
  </si>
  <si>
    <t>Files, Aircraft, Locomotive, Vehicle, Railroad, Tank, Conveyance, Lights, Fuel Cans, Telephones, Tables, Trucks, Presses, Bur, Ducts, Pans, Signs, Pipe, Hose, Mats, Ropes, Energy using equipment, Cap, Pins</t>
  </si>
  <si>
    <t>Règlement sur le soufre dans le carburant diesel</t>
  </si>
  <si>
    <t>DORS/2002-254</t>
  </si>
  <si>
    <t>https://legislation.nimonikapp.com/legislations/172641/legislation_texts</t>
  </si>
  <si>
    <t>https://canlii.ca/t/cmx9</t>
  </si>
  <si>
    <t xml:space="preserve">Ce règlement établit les limites de concentration du soufre pour le diesel des véhicules routiers, des véhicules hors-route, des locomotives et des navires. </t>
  </si>
  <si>
    <t>Petroleum Refinery Liquid Effluent Regulations</t>
  </si>
  <si>
    <t>CRC,c828</t>
  </si>
  <si>
    <t>https://legislation.nimonikapp.com/legislations/885/legislation_texts</t>
  </si>
  <si>
    <t>https://canlii.ca/t/7wlh</t>
  </si>
  <si>
    <t>This regulation establishes the authorized rates of harmful substances released by petroleum refineries.</t>
  </si>
  <si>
    <t>Water Use and Wastewater Management, Equipment, Energy Management, Fines, Penalties and Sanctions</t>
  </si>
  <si>
    <t>Tank, Tables, Heat Exchangers, Ballasts, Signs, Receptacles, Cables, Presses, Ducts, Nuts, Mill, Gate, Vises, Pins, Hose, Mats, Ropes, Energy using equipment, Bit, Financial Penalty, Filters, Cap, Pens</t>
  </si>
  <si>
    <t>RSC1985,cF-14</t>
  </si>
  <si>
    <t>Règlement sur les effluents des raffineries de pétrole</t>
  </si>
  <si>
    <t>CRC,c828-fr</t>
  </si>
  <si>
    <t>https://legislation.nimonikapp.com/legislations/172658/legislation_texts</t>
  </si>
  <si>
    <t>https://canlii.ca/t/clpt</t>
  </si>
  <si>
    <t>Ce règlement établit les taux autorisés de rejet de substances novices par les raffineries de pétrole.</t>
  </si>
  <si>
    <t>Petroleum Products Regulation</t>
  </si>
  <si>
    <t>RRQ,cP-30.01,r1</t>
  </si>
  <si>
    <t>oil_and_gas, road_transportation</t>
  </si>
  <si>
    <t>https://legislation.nimonikapp.com/legislations/912/legislation_texts</t>
  </si>
  <si>
    <t>https://canlii.ca/t/7srr</t>
  </si>
  <si>
    <t xml:space="preserve">The Regulation is of a technical nature. It describes fuel and fuel-oil types. It also provides standards applicable to petroleum product sampling and analysis. Schedule I contains additional requirements relating to points of compliance and gasoline volatility. Schedule II contains additional requirements relating to low temperature flow properties of diesel fuels.
</t>
  </si>
  <si>
    <t>Environment Uncategorized , Energy Management, Equipment</t>
  </si>
  <si>
    <t>Bin, Presses, Bur, Mats, Ducts, Motors, Energy using equipment</t>
  </si>
  <si>
    <t>Règlement sur les produits pétroliers</t>
  </si>
  <si>
    <t>RRQ,c.P-30.01,r1-fr</t>
  </si>
  <si>
    <t>https://legislation.nimonikapp.com/legislations/172511/legislation_texts</t>
  </si>
  <si>
    <t>https://canlii.ca/t/mhmr</t>
  </si>
  <si>
    <t xml:space="preserve">Le règlement est de nature technique. Il précise des types d'essence, de carburant et de mazout. Il prévoit également les normes de contrôle en matière de prélèvements et d'analyses reliés aux différents produits pétroliers. L'annexe I fixe les exigences additionnelles en matière de taux de conformité et de volatilité des essences. L'annexe II fixe les modalités additionnelles relatives à l'écoulement à basse température des carburants diesels. </t>
  </si>
  <si>
    <t>Effluent Monitoring and Effluent Limits - Petroleum Sector</t>
  </si>
  <si>
    <t>O.Reg.537/93</t>
  </si>
  <si>
    <t>https://legislation.nimonikapp.com/legislations/957/legislation_texts</t>
  </si>
  <si>
    <t>https://www.canlii.org/en/on/laws/regu/o-reg-537-93/latest/o-reg-537-93.html</t>
  </si>
  <si>
    <t>This Regulation sets the effluent discharge limits for the petroleum sector.</t>
  </si>
  <si>
    <t>Water Use and Wastewater Management, Equipment</t>
  </si>
  <si>
    <t>Tables, Level</t>
  </si>
  <si>
    <t>oil_and_gas, mining_and_minerals_industry, healthcare_industry</t>
  </si>
  <si>
    <t>https://legislation.nimonikapp.com/legislations/984/legislation_texts</t>
  </si>
  <si>
    <t>https://www.canlii.org/en/qc/laws/regu/rrq-c-a-3.001-r-1/latest/rrq-c-a-3.001-r-1.html</t>
  </si>
  <si>
    <t>This Regulation addresses medical aid in response to industrial accidents and occupational diseases.</t>
  </si>
  <si>
    <t>Occupational Health, Equipment, Fines, Penalties and Sanctions</t>
  </si>
  <si>
    <t>Brushes, Handles, Cables, Electrode, Jars, Financial Penalty, Battery Chargers, Wire, Stools, Pans, Tables, Pens, Tap</t>
  </si>
  <si>
    <t>Règlement sur l'assistance médicale</t>
  </si>
  <si>
    <t>RRQ,cA-3.001,r1-fr</t>
  </si>
  <si>
    <t>https://legislation.nimonikapp.com/legislations/172373/legislation_texts</t>
  </si>
  <si>
    <t>https://canlii.ca/t/1dl2</t>
  </si>
  <si>
    <t>Ce règlement établit les soins et aides que peuvent recevoir les travailleurs qui le requiert en raison d'une lésion professionnelle.</t>
  </si>
  <si>
    <t>Petroleum Storage and Distribution Facilities Storm Water Regulation</t>
  </si>
  <si>
    <t>BC.Reg.168/94</t>
  </si>
  <si>
    <t>https://legislation.nimonikapp.com/legislations/1028/legislation_texts</t>
  </si>
  <si>
    <t>https://www.canlii.org/en/bc/laws/regu/bc-reg-168-94/latest/bc-reg-168-94.html</t>
  </si>
  <si>
    <t>This Regulation specifies the standards applicable to petroleum storage and distribution facility.</t>
  </si>
  <si>
    <t>Water Use and Wastewater Management, Equipment, Fines, Penalties and Sanctions</t>
  </si>
  <si>
    <t>Telephones, Pipe, Tank, Nozzles, Drum, Pumps, Trucks, Cabinets, Hose, Racks, Valves, Signs, Financial Penalty, Cables, Catches, Mats, Ducts, Nuts, Cap, Tables, Pens, Pins, Bin, Pans, Pillar, Sanction, Violation, Criminal Charge</t>
  </si>
  <si>
    <t>Sulphur Content of Fuel Regulation</t>
  </si>
  <si>
    <t>BC.Reg.67/89</t>
  </si>
  <si>
    <t>general, oil_and_gas, chemicals_industry</t>
  </si>
  <si>
    <t>https://legislation.nimonikapp.com/legislations/1036/legislation_texts</t>
  </si>
  <si>
    <t>https://www.canlii.org/en/bc/laws/regu/bc-reg-67-89/latest/</t>
  </si>
  <si>
    <t>This repealed Regulation covers the permissible sulphur content in fuel.</t>
  </si>
  <si>
    <t>Uncategorized, Energy Management, Equipment, Fines, Penalties and Sanctions</t>
  </si>
  <si>
    <t>Financial Penalty, Bin, Sanction, Violation, Criminal Charge, Oilers, Energy using equipment, Mill, Pens</t>
  </si>
  <si>
    <t>Renewable Fuels Standard Regulation</t>
  </si>
  <si>
    <t>Alta.Reg.29/2010</t>
  </si>
  <si>
    <t>https://legislation.nimonikapp.com/legislations/1044/legislation_texts</t>
  </si>
  <si>
    <t>https://canlii.ca/t/8n3h</t>
  </si>
  <si>
    <t>This regulation establishes a 5% minimum renewable fuels component for fuel suppliers and a 2% requirement for diesel.</t>
  </si>
  <si>
    <t>Environment Management, Equipment, Fines, Penalties and Sanctions</t>
  </si>
  <si>
    <t>Aircraft, Locomotive, Lights, Vehicle, Tank, Cables, Bin, Presses, Ducts, Pins, Balance, Mats, Financial Penalty, Sanction, Violation, Criminal Charge, Tables, Tags, Pens</t>
  </si>
  <si>
    <t>SA2003,cC-16.7</t>
  </si>
  <si>
    <t>Used Oil Collection Regulations</t>
  </si>
  <si>
    <t>RRScE-10.2.Reg8</t>
  </si>
  <si>
    <t>https://legislation.nimonikapp.com/legislations/1106/legislation_texts</t>
  </si>
  <si>
    <t>https://www.canlii.org/en/sk/laws/regu/rrs-c-e-10.2-reg-8/latest/rrs-c-e-10.2-reg-8.html</t>
  </si>
  <si>
    <t>These Regulations address the management of used oil and, in brief, require sellers of oil to have a Product Management Program to recover the used oil, oil filters and containers.</t>
  </si>
  <si>
    <t>Environment Uncategorized , Equipment</t>
  </si>
  <si>
    <t>Filters, Bin, Tender, Tank, Mats, Oil Filters, Ducts, Hose, Tables, Pens, Pins</t>
  </si>
  <si>
    <t>SS2002,cE-10.21</t>
  </si>
  <si>
    <t>Propane Storage and Handling</t>
  </si>
  <si>
    <t>O.Reg.211/01</t>
  </si>
  <si>
    <t>https://legislation.nimonikapp.com/legislations/1171/legislation_texts</t>
  </si>
  <si>
    <t>https://www.canlii.org/en/on/laws/regu/o-reg-211-01/latest/o-reg-211-01.html</t>
  </si>
  <si>
    <t>This Regulation applies to the storage, handling, transportation and transfer of propane.</t>
  </si>
  <si>
    <t>Handles, Vehicle, Labels, Nozzles, Gauges, Tank, Switches, Valves, Dispensers, Lights, Trucks, Pumps, Motor vehicle, Fittings, Motors, Reservoirs, Torches, Telephones, Tubing, Hose, Level, Files, Regulator, Cables, Bin, Sights, Bur, Ducts, Pans, Pins, Signs, Fuse, Pipe, Doors, Mats, Train, Dams, Ropes, Energy using equipment, Bit, Financial Penalty, Tanker, Sanction, Violation, Criminal Charge, Cap, Tables, Pens, Gauge</t>
  </si>
  <si>
    <t>SO2000,c16</t>
  </si>
  <si>
    <t>Liquid Fuels</t>
  </si>
  <si>
    <t>O.Reg.217/01</t>
  </si>
  <si>
    <t>general, oil_and_gas, mining_and_minerals_industry</t>
  </si>
  <si>
    <t>https://legislation.nimonikapp.com/legislations/1173/legislation_texts</t>
  </si>
  <si>
    <t>https://www.canlii.org/en/on/laws/regu/o-reg-217-01/latest/o-reg-217-01.html</t>
  </si>
  <si>
    <t>This Regulation applies to facilities where gasoline or an associated product is handled, loaded or dispensed to be used as a fuel in motor vehicles or as a fuel oil.</t>
  </si>
  <si>
    <t>Handles, Vehicle, Pumps, Tank, Motor vehicle, Conveyance, Labels, Motors, Dispensers, Generators, Telephones, Pipe, Files, Cables, Presses, Ducts, Pans, Vises, Pins, Signs, Fuse, Hose, Floats, Mats, Ropes, Energy using equipment, Bit, Financial Penalty, Cap, Ballasts, Tables, Pens</t>
  </si>
  <si>
    <t>Boilers and Pressure Vessels</t>
  </si>
  <si>
    <t>O.Reg.220/01</t>
  </si>
  <si>
    <t>https://legislation.nimonikapp.com/legislations/1174/legislation_texts</t>
  </si>
  <si>
    <t>https://canlii.org/en/on/laws/regu/o-reg-220-01/latest/o-reg-220-01.html</t>
  </si>
  <si>
    <t>This Regulation applies to the design, construction, maintenance, use, operation, repair and service of boilers, pressure vessels and piping.</t>
  </si>
  <si>
    <t>Security and Public Safety, General Facility Design and Operation, Hazardous Materials Management, Safety Management, Privacy and Access to Information, Equipment, Energy Management, Fines, Penalties and Sanctions</t>
  </si>
  <si>
    <t>Fittings, Welders, Telephones, Valves, Pipe, Gauges, Pumps, Tank, Switchgear, Compressors, Gears, Squares, Hose, Generators, Labels, Files, Tables, Level, Cables, Regulator, Bin, Presses, Bur, Ducts, Pans, Gate, Pins, Signs, Oilers, Mats, Switches, Dams, Ropes, Energy using equipment, Financial Penalty, Sanction, Violation, Criminal Charge, Cap, Tags, Pens, Drill, Gauge, Mill, Train</t>
  </si>
  <si>
    <t>TSSA Liquid Fuels Handling Code 2007</t>
  </si>
  <si>
    <t>TSSA-LFHC-07</t>
  </si>
  <si>
    <t>https://legislation.nimonikapp.com/legislations/1176/legislation_texts</t>
  </si>
  <si>
    <t>https://store.csagroup.org/ccrz__ProductDetails?viewState=DetailView&amp;cartID=&amp;sku=TSSA%20LF-07&amp;isCSRFlow=true&amp;portalUser=&amp;store=&amp;cclcl=en_US</t>
  </si>
  <si>
    <t>This Code applies to gasoline, other petroleum products (not including wax and asphalt), and other liquid products used as fuel. A new edition of this standard is available: TSSA-LFHC-2017.</t>
  </si>
  <si>
    <t>Hazardous Materials Management</t>
  </si>
  <si>
    <t>Gaseous Fuels</t>
  </si>
  <si>
    <t>O.Reg.212/01</t>
  </si>
  <si>
    <t>https://legislation.nimonikapp.com/legislations/1177/legislation_texts</t>
  </si>
  <si>
    <t>https://www.canlii.org/en/on/laws/regu/o-reg-212-01/latest/o-reg-212-01.html</t>
  </si>
  <si>
    <t>This Regulation applies to the installation, testing, maintenance, repair, removal, replacement, inspection and use of appliances, equipment, components and accessories where gaseous fuels are to be used for fuel purposes, and to the installation of VRAs, without storage, having a total flow rate below 1.0 cubic metre/minute (35 cubic feet/minute).</t>
  </si>
  <si>
    <t>Hazardous Materials Management, Security and Public Safety, Communications and Utilities, Safety Management, Occupational Health, Equipment, Energy Management, Fines, Penalties and Sanctions</t>
  </si>
  <si>
    <t>Handles, Vehicle, Pipe Fittings, Pumps, Valves, Compressors, Pipe, Labels, Fittings, Reservoirs, Ducts, Telephones, Tubing, Hose, Trucks, Regulator, Cables, Bin, Presses, Bur, Pans, Nuts, Pins, Signs, Mats, Train, Dams, Ropes, Energy using equipment, Bit, Financial Penalty, Sanction, Violation, Criminal Charge, Tables, Pens</t>
  </si>
  <si>
    <t>https://legislation.nimonikapp.com/legislations/1179/legislation_texts</t>
  </si>
  <si>
    <t>https://www.canlii.org/en/on/laws/regu/o-reg-215-01/latest/o-reg-215-01.html</t>
  </si>
  <si>
    <t>This Regulation applies with respect to certificates required to be held in order to perform work under O.Reg.212/01, O.Reg.211/01, O.Reg.213/01, O.Reg.210/01, and O.Reg.214/01.</t>
  </si>
  <si>
    <t>Security and Public Safety, Hazardous Materials Management, Safety Management, Equipment, Energy Management, Fines, Penalties and Sanctions</t>
  </si>
  <si>
    <t>Trucks, Labels, Valves, Fittings, Vehicle, Dryers, Pipe, Heaters, Tank, Tubing, Tags, Motor vehicle, Motors, Hose, Ducts, Switches, Fuse, Enclosures, Pumps, Filters, Torches, Fans, Regulator, Cables, Bin, Presses, Bur, Pans, Vises, Pins, Signs, Internal combustion engine, Doors, Oilers, Fan, Lights, Mats, Train, Dams, Energy using equipment, Financial Penalty, Cap, Tables, Pens</t>
  </si>
  <si>
    <t>Certification of Petroleum Mechanics</t>
  </si>
  <si>
    <t>O.Reg.216/01</t>
  </si>
  <si>
    <t>https://legislation.nimonikapp.com/legislations/1180/legislation_texts</t>
  </si>
  <si>
    <t>https://canlii.ca/t/rmt</t>
  </si>
  <si>
    <t>This Regulation sets out the qualifications that a mechanic who installs, inspects, services, maintains, or repairs petroleum equipment must meet in order to qualify for a certificate of qualification as a petroleum mechanic. The Regulation also delineates the activities that may only be performed by a certified petroleum mechanic.</t>
  </si>
  <si>
    <t>Professional Conduct, Quality Management, Hazardous Materials Management, Equipment</t>
  </si>
  <si>
    <t>Hose, Belts, Tubing, Tank, Nozzles, Dispensers, Fill pipe, Pipe, Pumps, Filters, Cables, Bin, Presses, Ducts, Pans, Vises, Pins, Signs, Hooks, Mats, Train, Cap, Tables, Pens</t>
  </si>
  <si>
    <t>https://legislation.nimonikapp.com/legislations/1208/legislation_texts</t>
  </si>
  <si>
    <t>https://canlii.ca/t/tsb</t>
  </si>
  <si>
    <t>This Regulation applies to all work done offshore on or from a rig.</t>
  </si>
  <si>
    <t>Occupational Health, Safety Management, Equipment, Energy Management, Fines, Penalties and Sanctions</t>
  </si>
  <si>
    <t>Ladders, Walkway, Barrier, Switches, Pile, Seats, Chain, Shovels, Doors, Water lines, Bit, Helicopters, Winches, Shaft, Wire, Boom, Crane, Prime mover, Brakes, Indicators, Slings, Tank, Hoist, Hooks, Generators, Belts, Grinding Wheels, Pulleys, Detonator, Canopy, Drum, Fire Extinguishers, Partitions, Bulkhead, Valves, Drill, Hopper, Cables, Lights, Wire Rope, Smoke detectors, Cage, Nuts, Bin, Cap, Shock Absorbers, Alarms, Fittings, Parallels, Deck, Showers, Explosive magazine, Telephones, Pins, Transmission equipment, Bolt, Squares, Wheels, Clutches, Ramp, Trucks, Gears, Hose, Radio, Lifting device, Screen, Pipe, Racks, Sheave, Ropes, Clutch, Winch, Crane, Energy using equipment, Jacks, Bells, Pumps, Pens, Hoist, Signs, Wash Stations, Barge, Counters, Sanction, Violation, Criminal Charge, Clothing, Drill rig, Catches, Hinges, Labels, Balance, Mats, Anchors, Train, Financial Penalty, Tie Downs, Presses, Ducts, Pans, Backhoes, Mill, Wedge, Vises, Plugs, Derrick, Dams, Tables</t>
  </si>
  <si>
    <t>oil_and_gas, mining_and_minerals_industry</t>
  </si>
  <si>
    <t>https://legislation.nimonikapp.com/legislations/1284/legislation_texts</t>
  </si>
  <si>
    <t>https://www.canlii.org/en/ab/laws/regu/alta-reg-223-2008/latest/</t>
  </si>
  <si>
    <t>This regulation sets out rules that specify how operators apply for an oil sands royalty project, report royalty-related information, and pay royalties to the Crown.</t>
  </si>
  <si>
    <t>Financial Administration, Accounting, Charges, Equipment, Energy Management, Fines, Penalties and Sanctions</t>
  </si>
  <si>
    <t>Cables, Regulator, Bin, Presses, Ducts, Pans, Gate, Vises, Pins, Racks, Signs, Pipe, Hose, Oilers, Reservoirs, Balance, Mats, Ropes, Energy using equipment, Bit, Trucks, Financial Penalty, Water lines, Sanction, Violation, Criminal Charge, Cap, Tables, Tags, Pens, Drill</t>
  </si>
  <si>
    <t>Used Oil Material</t>
  </si>
  <si>
    <t>O.Reg.85/03</t>
  </si>
  <si>
    <t>https://legislation.nimonikapp.com/legislations/1289/legislation_texts</t>
  </si>
  <si>
    <t>https://www.canlii.org/en/on/laws/regu/o-reg-85-03/latest/</t>
  </si>
  <si>
    <t>Used oil, filters and containers are prescribed in O.Reg.85/03.</t>
  </si>
  <si>
    <t>Uncategorized, Equipment</t>
  </si>
  <si>
    <t>Signs, Gears, Filters, Bin, Mats, Pumps, Oil Filters, Hose, Cap, Tables, Furnaces, Pins</t>
  </si>
  <si>
    <t>SO2002,c6</t>
  </si>
  <si>
    <t>https://legislation.nimonikapp.com/legislations/1301/legislation_texts</t>
  </si>
  <si>
    <t>https://www.canlii.org/en/nl/laws/regu/nlr-62-03/latest/</t>
  </si>
  <si>
    <t xml:space="preserve">These Regulations contain rules for operations that refine, import, or store gasoline intended for motor vehicles. They set mandatory maximum vapour pressures for gasoline, which differ based on month, location, and facility characteristics. They contain permitting and reporting requirements to ensure these standards are met, and specify fines for noncompliance. </t>
  </si>
  <si>
    <t>Tank, Trucks, Vehicle, Motor vehicle, Motors</t>
  </si>
  <si>
    <t>SNL2002,cE-14.2</t>
  </si>
  <si>
    <t>Used Oil Control Regulations</t>
  </si>
  <si>
    <t>NLR.82/02</t>
  </si>
  <si>
    <t>https://legislation.nimonikapp.com/legislations/1306/legislation_texts</t>
  </si>
  <si>
    <t>https://www.canlii.org/en/nl/laws/regu/nlr-82-02/latest/</t>
  </si>
  <si>
    <t>These Regulations enable the government to effectively manage all waste oil products, ban unacceptable disposal methods for used oil, control the storage of used oil and provide for the proper return of used oil and lubricants.</t>
  </si>
  <si>
    <t>Waste Management, Equipment, Energy Management, Fines, Penalties and Sanctions</t>
  </si>
  <si>
    <t>Pipe, Labels, Gate, Fill pipe, Tank, Handles, Funnels, Screen, Vehicle, Generators, Barrier, Wheels, Trucks, Gears, Level, Filters, Oil Filters, Pails, Drum, Fixtures, Pumps, Catches, Furnaces, Brushes, Signs, Tables, Cables, Bin, Presses, Bur, Ducts, Pans, Mill, Pins, Fuse, Hose, Oilers, Chain, Mats, Train, Dams, Ropes, Energy using equipment, Bit, Saws, Financial Penalty, Sanction, Violation, Criminal Charge, Tanker, Cap, Tags, Pens, Vacuums</t>
  </si>
  <si>
    <t>Used Oil and Waste Fuel Management Regulations</t>
  </si>
  <si>
    <t>NWT.Reg.064-2003</t>
  </si>
  <si>
    <t>https://legislation.nimonikapp.com/legislations/1382/legislation_texts</t>
  </si>
  <si>
    <t>https://www.canlii.org/en/nt/laws/regu/nwt-reg-064-2003/latest/</t>
  </si>
  <si>
    <t>This Regulation governs to the storage, handling and disposal of used oil and waste fuel.  It prohibits a variety of activities related to the disposal and blending of used oil and waste fuel.  However, it also permits the incineration of used oil and waste fuel, under certain exception.</t>
  </si>
  <si>
    <t>Furnaces, Level, Conduits, Filters, Telephones, Generators, Tank, Cables, Presses, Bur, Ducts, Pans, Vises, Labels, Oilers, Mats, Train, Dams, Ropes, Energy using equipment, Bells, Handles, Financial Penalty, Files, Oil Filters, Sanction, Violation, Criminal Charge, Tables, Pens</t>
  </si>
  <si>
    <t>RSNWT1988,cE-7</t>
  </si>
  <si>
    <t>Propane Cylinder Storage Regulations</t>
  </si>
  <si>
    <t>NWT.Reg.094-91</t>
  </si>
  <si>
    <t>https://legislation.nimonikapp.com/legislations/1386/legislation_texts</t>
  </si>
  <si>
    <t>https://canlii.org/en/nt/laws/regu/nwt-reg-094-91/latest/nwt-reg-094-91.html</t>
  </si>
  <si>
    <t>Cables, Padlocks, Wrenches, Bolt, Chain, Fixtures, Signs, Bur, Hose, Pans, Cap</t>
  </si>
  <si>
    <t>RSNWT1988,cF-6</t>
  </si>
  <si>
    <t>General Regulations – Petroleum Products Act</t>
  </si>
  <si>
    <t>PEI.Reg.EC38/91</t>
  </si>
  <si>
    <t>https://legislation.nimonikapp.com/legislations/1420/legislation_texts</t>
  </si>
  <si>
    <t>https://canlii.org/en/pe/laws/regu/pei-reg-ec38-91/latest/pei-reg-ec38-91.html</t>
  </si>
  <si>
    <t>Cap, Motors, Nozzles, Pipe, Pumps, Tank, Vehicle, Tags, Fill pipe, Lights, Signs, Trucks, Files, Mill, Dump Trucks, Regulator, Ducts, Pans, Mats, Train, Energy using equipment, Bit, Financial Penalty, Tables, Pens</t>
  </si>
  <si>
    <t>Gasoline Handling Regulations</t>
  </si>
  <si>
    <t>YCO.1972/137</t>
  </si>
  <si>
    <t>https://legislation.nimonikapp.com/legislations/1422/legislation_texts</t>
  </si>
  <si>
    <t>https://canlii.org/en/yk/laws/regu/yco-1972-137/latest/yco-1972-137.html</t>
  </si>
  <si>
    <t>Tank, Conveyance, Doors, Shock Absorbers, Partitions, Motor vehicle, Motors, Gears, Vehicle, Gauges, Brakes, Gaskets, Trucks, Labels, Squares, Truck trailers, Mill, Automobiles, Tables, Pumps, Springs, Handles, Nozzles, Fire Extinguishers, Hooks, Bolt, Sill, Faucets, Valves, Bumpers, Mufflers, Cabinets, Wire, Tags, Shades, Pipe, Bulkhead, Fittings, Level, Seats, Vacuums, Fill pipe, Header, Walkway, Gate, Files, Racks, Cap, Boxes, Welders, Anchors, Slings, Chain, Drum, Hose, Pressure Gauges, Signs, Bearings, Mirrors, Switches, Dyke, Scales, Dispensers, Alarms, Furnaces, Indicators, Strainers, Bin, Pins, Ovens, Fuel Cans, Lights, Energy using equipment, Bit, Bells, Barrier, Pens, Cables, Tender, Sanction, Violation, Criminal Charge, Gauge, Scale, Fuse, Mats, Train, Ropes, Traffic Signs, Magnet, Financial Penalty, Sorbents, Screws, Presses, Wheels, Ducts, Pans, Vises, Manifolds, Internal combustion engine, Plugs, Rivets, Dams</t>
  </si>
  <si>
    <t>Policy Directive: Management of Impacted Sites</t>
  </si>
  <si>
    <t>PD-PPD05-01</t>
  </si>
  <si>
    <t>notices</t>
  </si>
  <si>
    <t>https://legislation.nimonikapp.com/legislations/1454/legislation_texts</t>
  </si>
  <si>
    <t>https://www.gov.nl.ca/mae/files/env-protection-ics-guidance-document-for-the-management-of-impacted-sites-v2.0-feb-6-2014.pdf</t>
  </si>
  <si>
    <t>Environment Management, Water Use and Wastewater Management, Equipment, Fines, Penalties and Sanctions</t>
  </si>
  <si>
    <t>Conduits, Cables, Regulator, Bin, Ducts, Pans, Mill, Scale, Gate, Vises, Pins, Racks, Signs, Tank, Boxes, Doors, Hose, Furnaces, Level, Drill, Lights, Mats, Train, Dams, Ropes, Bit, Scales, Telephones, Handles, Financial Penalty, Counters, Pumps, Bearings, Sanction, Violation, Criminal Charge, Cap, Tables, Tags, Pens, Screen, Indicators</t>
  </si>
  <si>
    <t>Guidance Document for the Management of Impacted Sites</t>
  </si>
  <si>
    <t>GDMIS</t>
  </si>
  <si>
    <t>Guidance, Legislation</t>
  </si>
  <si>
    <t>https://legislation.nimonikapp.com/legislations/1460/legislation_texts</t>
  </si>
  <si>
    <t>Environmental Response Arrangements Regulations</t>
  </si>
  <si>
    <t>SOR/2008-275</t>
  </si>
  <si>
    <t>https://legislation.nimonikapp.com/legislations/1482/legislation_texts</t>
  </si>
  <si>
    <t>https://www.canlii.org/en/ca/laws/regu/sor-2008-275/latest/sor-2008-275.html</t>
  </si>
  <si>
    <t>These Regulations are designed to contribute to ensuring that the marine environment is protected from the effects of a vessel or an oil handling facility discharge of oil by providing a mechanism to maintain a state of preparedness and a response capability for discharges.</t>
  </si>
  <si>
    <t>Pins</t>
  </si>
  <si>
    <t>Règlement sur les ententes en matière d'intervention environnementale</t>
  </si>
  <si>
    <t>DORS/2008-275</t>
  </si>
  <si>
    <t>https://legislation.nimonikapp.com/legislations/172614/legislation_texts</t>
  </si>
  <si>
    <t>https://canlii.ca/t/cq3w</t>
  </si>
  <si>
    <t>Ce cèglement vise à faire en sorte que le milieu marin soit protégé contre les effets d'un déversement de pétrole par un navire ou une installation de manutention d'hydrocarbures en fournissant un mécanisme permettant de maintenir un état ​​de préparation et une capacité d'intervention pour les rejets.</t>
  </si>
  <si>
    <t>Definitions and Exemptions</t>
  </si>
  <si>
    <t>O.Reg.160/99</t>
  </si>
  <si>
    <t>https://legislation.nimonikapp.com/legislations/1521/legislation_texts</t>
  </si>
  <si>
    <t>https://www.canlii.org/en/on/laws/regu/o-reg-160-99/latest/o-reg-160-99.html</t>
  </si>
  <si>
    <t>This Regulation sets out definitions and exemptions under the Electricity Act.</t>
  </si>
  <si>
    <t>Communications and Utilities, Environment Management, Equipment, Energy Management, Fines, Penalties and Sanctions</t>
  </si>
  <si>
    <t>Vehicle, Transformer station, Transformer, Lights, Dams, Generators, Bin, Bur, Ducts, Pans, Nuts, Vises, Pins, Energy consumption and conservation, Hose, Mats, Ropes, Energy using equipment, Financial Penalty, Tags, Pens, Energy source</t>
  </si>
  <si>
    <t>Petroleum Drilling Regulations</t>
  </si>
  <si>
    <t>CNLR.1150/96</t>
  </si>
  <si>
    <t>https://legislation.nimonikapp.com/legislations/1535/legislation_texts</t>
  </si>
  <si>
    <t>https://canlii.org/en/nl/laws/regu/cnlr-1150-96/latest/cnlr-1150-96.html</t>
  </si>
  <si>
    <t>Hazardous Materials Management, Waste Management, Natural Resource Management, Security and Public Safety, Equipment, Energy Management, Fines, Penalties and Sanctions</t>
  </si>
  <si>
    <t>Cables, Collar, Regulator, Bin, Presses, Wire, Bur, Ducts, Calipers, Pans, Nuts, Mill, Scale, Indicators, Gate, Vises, Hoist, Pins, Manifolds, Ovens, Signs, Fuse, Pipe, Tank, Labels, Hoist, Studs, Hooks, Pile, Hose, Drill Bits, Oilers, Reservoirs, Seats, Level, Markers, Tubing, Plugs, Valves, Balance, Bags, Crane, Derrick, Aircraft, Mats, Dams, Ropes, Energy using equipment, Thermometer, Bit, Bushings, Bells, Scales, Handles, Crane, Filters, Gauges, Financial Penalty, Counters, Pumps, Bearings, Sanction, Violation, Criminal Charge, Barrier, Cap, Tables, Alarms, Pens, Drill, Radio, Gauge</t>
  </si>
  <si>
    <t>Canada-Newfoundland and Labrador Oil and Gas Spills and Debris Liability Newfoundland and Labrador Regulations</t>
  </si>
  <si>
    <t>CNLR.771/96</t>
  </si>
  <si>
    <t>https://legislation.nimonikapp.com/legislations/1536/legislation_texts</t>
  </si>
  <si>
    <t>https://canlii.org/en/nl/laws/regu/cnlr-771-96/latest/cnlr-771-96.html</t>
  </si>
  <si>
    <t>These Regulations explain the limits of liability for the purposes of section 157 of the Act in the case of a spill or discharge.</t>
  </si>
  <si>
    <t>Environment Uncategorized , Equipment, Fines, Penalties and Sanctions</t>
  </si>
  <si>
    <t>Financial Penalty, Parallels</t>
  </si>
  <si>
    <t>Offshore Area Oil and Gas Operations Regulations</t>
  </si>
  <si>
    <t>CNLR.1/96</t>
  </si>
  <si>
    <t>https://legislation.nimonikapp.com/legislations/1537/legislation_texts</t>
  </si>
  <si>
    <t>https://canlii.org/en/nl/laws/regu/cnlr-1-96/latest/cnlr-1-96.html</t>
  </si>
  <si>
    <t xml:space="preserve">These Regulations require a person reporting a spill to do so by informing the chief conservation officer immediately of the circumstances and relevant details of the spill by the most rapid practical means. 
</t>
  </si>
  <si>
    <t>Environment Management, Natural Resource Management, Equipment</t>
  </si>
  <si>
    <t>Signs, Presses, Studs, Pans</t>
  </si>
  <si>
    <t>Offshore Petroleum Drilling and Production Newfoundland and Labrador Regulations</t>
  </si>
  <si>
    <t>NLR.120/09</t>
  </si>
  <si>
    <t>https://legislation.nimonikapp.com/legislations/1538/legislation_texts</t>
  </si>
  <si>
    <t>https://canlii.org/en/nl/laws/regu/nlr-120-09/latest/nlr-120-09.html</t>
  </si>
  <si>
    <t>Cables, Regulator, Bin, Presses, Bur, Wire, Ducts, Nuts, Scale, Gate, Pins, Manifolds, Signs, Fuse, Tank, Helicopters, Studs, Pile, Hose, Reservoirs, Level, Floats, Tubing, Plugs, Valves, Balance, Bags, Aircraft, Mats, Vehicle, Train, Ropes, Energy using equipment, Bit, Bushings, Scales, Handles, Financial Penalty, Files, Counters, Barrier, Cap, Tables, Alarms, Pens, Drill, Indicators</t>
  </si>
  <si>
    <t>Offshore Area Petroleum Geophysical Operations Newfoundland and Labrador Regulations</t>
  </si>
  <si>
    <t>NLR.16/97</t>
  </si>
  <si>
    <t>https://legislation.nimonikapp.com/legislations/1539/legislation_texts</t>
  </si>
  <si>
    <t>https://canlii.org/en/nl/laws/regu/nlr-16-97/latest/nlr-16-97.html</t>
  </si>
  <si>
    <t>Occupational Health, Safety Management, Natural Resource Management, Security and Public Safety, Equipment, Energy Management, Fines, Penalties and Sanctions</t>
  </si>
  <si>
    <t>Deck, Fittings, Valves, Tank, Cables, Aircraft, Compressors, Signs, Manifolds, Pipe, Hose, Chain, Circuit Breakers, Helicopters, Radio, Clothing, Belts, Gearshift, Drill, Level, Tables, Bin, Presses, Bur, Ducts, Pans, Gate, Vises, Pins, Racks, Fuse, Studs, Seats, Energy source, Lights, Mats, Train, Dams, Ropes, Energy using equipment, Bit, Handles, Magnet, Financial Penalty, Files, Counters, Sanction, Violation, Criminal Charge, Cap, Ballasts, Pens, Pile</t>
  </si>
  <si>
    <t>Offshore Petroleum Installations Newfoundland and Labrador Regulations</t>
  </si>
  <si>
    <t>NLR.20/97</t>
  </si>
  <si>
    <t>https://canlii.org/en/nl/laws/regu/nlr-20-97/latest/nlr-20-97.html</t>
  </si>
  <si>
    <t>General Facility Design and Operation, Emergency Preparedness and Response, Safety Management, Waste Management</t>
  </si>
  <si>
    <t>Nuclear Substances and Radiation Devices Regulations</t>
  </si>
  <si>
    <t>SOR/2000-207</t>
  </si>
  <si>
    <t>oil_and_gas, chemicals_industry, mining_and_minerals_industry</t>
  </si>
  <si>
    <t>https://canlii.ca/t/7xkm</t>
  </si>
  <si>
    <t>The Nuclear Substances and Radiation Devices Regulations apply to all nuclear substances, sealed sources and radiation devices not covered by other regulations.</t>
  </si>
  <si>
    <t>Waste Management, Hazardous Materials Management, Occupational Health, Security and Public Safety, Equipment, Energy Management, Fines, Penalties and Sanctions</t>
  </si>
  <si>
    <t>Smoke detectors, Labels, Telephones, Tags, Tubes, Cables, Shaft, Handles, Level, Chain, Aircraft, Mill, Signs, Lights, Glass, Pumps, Barrier, Gearshift, Files, Regulator, Presses, Ducts, Vises, Studs, Hose, Energy source, Mats, Train, Dams, Ropes, Energy using equipment, Bit, Bells, Financial Penalty, Counters, Sanction, Violation, Criminal Charge, Cap, Tables, Pens, Radio</t>
  </si>
  <si>
    <t>SC1997,c9</t>
  </si>
  <si>
    <t>Règlement sur les substances nucléaires et les appareils à rayonnement</t>
  </si>
  <si>
    <t>DORS/2000-207</t>
  </si>
  <si>
    <t>https://legislation.nimonikapp.com/legislations/172327/legislation_texts</t>
  </si>
  <si>
    <t>https://canlii.ca/t/cmnz</t>
  </si>
  <si>
    <t>Ce règlement s’applique aux substances nucléaires et sources scellées ainsi qu’à tous les appareils à rayonnement qui ne font pas partie des appareils autrement réglementés.</t>
  </si>
  <si>
    <t>Consultation and Notification Regulation</t>
  </si>
  <si>
    <t>BC.Reg.279/2010</t>
  </si>
  <si>
    <t>https://legislation.nimonikapp.com/legislations/2275/legislation_texts</t>
  </si>
  <si>
    <t>https://www.canlii.org/en/bc/laws/regu/bc-reg-279-2010/latest/</t>
  </si>
  <si>
    <t>This Regulation provides that individuals who exercise an oil and gas activity (such as water or gas pipeline construction) on private or public land have the obligation to notify or consult individuals or authorities who will be affected by the activity. The Regulation also specifies the contents of a notice or consultation.</t>
  </si>
  <si>
    <t>Security and Public Safety, Equipment</t>
  </si>
  <si>
    <t>Regulator, Drum, Generators, Tank, Pumps, Header, Timber, Gearshift, Filters, Heaters, Compressors, Lights, Vehicle</t>
  </si>
  <si>
    <t>Drilling and Production Regulation</t>
  </si>
  <si>
    <t>BC.Reg.282/2010</t>
  </si>
  <si>
    <t>https://legislation.nimonikapp.com/legislations/2277/legislation_texts</t>
  </si>
  <si>
    <t>https://www.canlii.org/en/bc/laws/regu/bc-reg-282-2010/latest/</t>
  </si>
  <si>
    <t>The Drilling and Production Regulation requires that individuals with permits allowing them to drill or operate a well notify the commission prior to the construction or drilling of the well.</t>
  </si>
  <si>
    <t>Natural Resource Management, Water Use and Wastewater Management, Security and Public Safety, Air Emissions and Ambient Air Quality, Safety Management, Waste Management, Environment Management, Equipment, Energy Management, Fines, Penalties and Sanctions</t>
  </si>
  <si>
    <t>Anchors, Tubing, Drill, Wire, Valves, Tank, Compressors, Plugs, Barrier, Reservoirs, Pipe, Indicators, Alarms, Signs, Telephones, Level, Labels, Boxes, Recorders, Scales, Lights, Pumps, Receptacles, Tap, Cap, Handles, Horns, Sights, Cables, Compasses, Bin, Presses, Bur, Ducts, Pans, Nuts, Mill, Scale, Vises, Pins, Fuse, Pile, Hose, Balance, Bags, Mats, Train, Dams, Ropes, Energy using equipment, Bit, Jacks, Bells, Gauges, Financial Penalty, Sanction, Violation, Criminal Charge, Tables, Tags, Pens, Gauge, Safety Cans, Screen</t>
  </si>
  <si>
    <t>Oil and Gas Activities Act General Regulation</t>
  </si>
  <si>
    <t>BC.Reg.274/2010</t>
  </si>
  <si>
    <t>https://legislation.nimonikapp.com/legislations/2278/legislation_texts</t>
  </si>
  <si>
    <t>https://www.canlii.org/en/bc/laws/regu/bc-reg-274-2010/latest/</t>
  </si>
  <si>
    <t>The Oil and Gas Activities Act General Regulation makes it obligatory to survey pipelines and well sites within a specific time frame.</t>
  </si>
  <si>
    <t>Natural Resource Management, Wildlife and Land Conservation, Equipment, Energy Management, Fines, Penalties and Sanctions</t>
  </si>
  <si>
    <t>Reservoirs, Pipe, Wire, Drill, Files, Cables, Presses, Ducts, Pans, Gate, Vises, Pins, Ovens, Signs, Studs, Hose, Mats, Ropes, Energy using equipment, Financial Penalty, Tender, Sanction, Violation, Criminal Charge, Cap, Tables, Tags, Pens, Energy source</t>
  </si>
  <si>
    <t>Geophysical Exploration Regulation</t>
  </si>
  <si>
    <t>BC.Reg.280/2010</t>
  </si>
  <si>
    <t>https://legislation.nimonikapp.com/legislations/2280/legislation_texts</t>
  </si>
  <si>
    <t>https://www.canlii.org/en/bc/laws/regu/bc-reg-280-2010/latest/</t>
  </si>
  <si>
    <t>The Geophysical Exploration Regulation provides that anyone who holds a permit that allows them to conduct geophysical exploration must submit a report containing project details during a specific time frame.</t>
  </si>
  <si>
    <t>Natural Resource Management, Security and Public Safety, Water Use and Wastewater Management, Waste Management, Environment Management, Equipment, Energy Management, Fines, Penalties and Sanctions</t>
  </si>
  <si>
    <t>Plugs, Drill, Springs, Level, Bearings, Files, Scales, Cables, Tags, Nails, Wire, Flags, Pins, Markers, Dams, Telephones, Tank, Barrier, Reservoirs, Bin, Bur, Ducts, Scale, Gate, Signs, Pipe, Mats, Energy using equipment, Financial Penalty, Sanction, Violation, Criminal Charge, Tables, Pens, Energy source, Vises, Fuse, Lagging, Bags, Ropes, Cap</t>
  </si>
  <si>
    <t>Fee, Levy and Security Regulation</t>
  </si>
  <si>
    <t>BC.Reg.278/2010</t>
  </si>
  <si>
    <t>https://www.canlii.org/en/bc/laws/regu/bc-reg-278-2010/latest/</t>
  </si>
  <si>
    <t xml:space="preserve">The Fee, Levy and Security Regulation specifies the required fees for various permit applications.
</t>
  </si>
  <si>
    <t>Environment Uncategorized</t>
  </si>
  <si>
    <t>Administrative Penalties Regulation</t>
  </si>
  <si>
    <t>BC.Reg.35/2011</t>
  </si>
  <si>
    <t>https://legislation.nimonikapp.com/legislations/2282/legislation_texts</t>
  </si>
  <si>
    <t>https://canlii.ca/t/8p4l</t>
  </si>
  <si>
    <t>The Administrative Penalties Regulation provides the administrative penalty amounts for persons who contravene the Oil and Gas Activities Act, the Environmental Protection and Management Regulation, the Consultation and Notification Regulation, the Drilling and Production Regulation, the Pipeline and Liquefied Natural Gas Facilities Regulation and the Geophysical Exploration Regulation.</t>
  </si>
  <si>
    <t>Security and Public Safety, Natural Resource Management, Wildlife and Land Conservation, Environment Management, Energy Management, Equipment, Fines, Penalties and Sanctions</t>
  </si>
  <si>
    <t>Financial Penalty, Pipe, Ducts, Sanction, Violation, Criminal Charge, Energy using equipment, Pens, Drill</t>
  </si>
  <si>
    <t>Petroleum and Natural Gas Regulations, 1969</t>
  </si>
  <si>
    <t>Sask.Reg.8/69</t>
  </si>
  <si>
    <t>https://www.canlii.org/en/sk/laws/regu/sask-reg-8-69/latest/sask-reg-8-69.html</t>
  </si>
  <si>
    <t>These repealed Regulations regulated the issuance of permits for petroleum and natural gas exploration.</t>
  </si>
  <si>
    <t>SS1984-85-86,cC-50.2</t>
  </si>
  <si>
    <t>Storage Tank Regulations</t>
  </si>
  <si>
    <t>YOIC.1996/194</t>
  </si>
  <si>
    <t>https://legislation.nimonikapp.com/legislations/2497/legislation_texts</t>
  </si>
  <si>
    <t>https://canlii.ca/t/8jlt</t>
  </si>
  <si>
    <t>Aircraft, Pipe Fittings, Fittings, Pumps, Furnaces, Valves, Vehicle, Dispensers, Pipe, Tank, Level, Cables, Presses, Bur, Ducts, Pans, Pins, Signs, Fuse, Mats, Ropes, Financial Penalty, Cap, Tags, Pens</t>
  </si>
  <si>
    <t>https://legislation.nimonikapp.com/legislations/3486/legislation_texts</t>
  </si>
  <si>
    <t>https://canlii.ca/t/8bdk</t>
  </si>
  <si>
    <t>Environment Management, Natural Resource Management, Equipment, Energy Management, Fines, Penalties and Sanctions</t>
  </si>
  <si>
    <t>Recorders, Vehicle, Drill, Scales, Level, Handles, Aircraft, Shaft sinking equipment, Shaft, Diamond Drill, Bearings, Markers, Timber, Lights, Telephones, Ramp, Jacks, Pins, Water lines, Springs, Squares, Mill, Bells, Bin, Bur, Ducts, Pans, Scale, Vises, Signs, Fuse, Studs, Lagging, Pile, Hose, Sinks, Bags, Gloves, Balance, Mats, Flags, Train, Dams, Ropes, Energy using equipment, Bit, Magnet, Filters, Financial Penalty, Files, Carts, Sanction, Violation, Criminal Charge, Barrier, Cap, Tables, Pens</t>
  </si>
  <si>
    <t>RSNL1990,cM-12</t>
  </si>
  <si>
    <t>Licence Requirements - Electricity Retailers and Gas Marketers</t>
  </si>
  <si>
    <t>O.Reg.90/99</t>
  </si>
  <si>
    <t>https://legislation.nimonikapp.com/legislations/3512/legislation_texts</t>
  </si>
  <si>
    <t>https://www.canlii.org/en/on/laws/regu/o-reg-90-99/latest/o-reg-90-99.html</t>
  </si>
  <si>
    <t>This Regulation regulates the licence requirements for electricity retailers and gas marketers.</t>
  </si>
  <si>
    <t>Communications and Utilities, Professional Conduct, Quality Management, Equipment</t>
  </si>
  <si>
    <t>Telephones, Signs, Fuse, Cables, Files, Mats, Ducts, Train</t>
  </si>
  <si>
    <t>Biodiesel (General) Regulation</t>
  </si>
  <si>
    <t>Man.Reg.178/2008</t>
  </si>
  <si>
    <t>https://legislation.nimonikapp.com/legislations/3518/legislation_texts</t>
  </si>
  <si>
    <t>https://www.canlii.org/en/mb/laws/regu/man-reg-178-2008/latest/man-reg-178-2008.html</t>
  </si>
  <si>
    <t>Locomotive, Level, Files, Signs, Magnet, Cables, Financial Penalty, Bur, Mats, Ducts, Sanction, Violation, Criminal Charge, Cap, Ropes, Pens</t>
  </si>
  <si>
    <t>Biodiesel Mandate For Diesel Fuel Regulation</t>
  </si>
  <si>
    <t>Man.Reg.147/2009</t>
  </si>
  <si>
    <t>https://legislation.nimonikapp.com/legislations/3519/legislation_texts</t>
  </si>
  <si>
    <t>https://www.canlii.org/en/mb/laws/regu/man-reg-147-2009/latest/man-reg-147-2009.html</t>
  </si>
  <si>
    <t>Locomotive, Files, Magnet, Cables, Financial Penalty, Presses, Bur, Mats, Sanction, Violation, Criminal Charge, Cap, Tags, Pens</t>
  </si>
  <si>
    <t>Ethanol General Regulation</t>
  </si>
  <si>
    <t>Man.Reg.165/2007</t>
  </si>
  <si>
    <t>oil_and_gas, chemicals_industry, utilities_and_communications</t>
  </si>
  <si>
    <t>https://legislation.nimonikapp.com/legislations/3520/legislation_texts</t>
  </si>
  <si>
    <t>https://www.canlii.org/en/mb/laws/regu/man-reg-165-2007/latest/man-reg-165-2007.html</t>
  </si>
  <si>
    <t>Tables, Files, Cables, Presses, Bur, Ducts, Pans, Signs, Internal combustion engine, Hose, Mats, Financial Penalty, Magnet, Sanction, Violation, Criminal Charge, Cap, Tags, Pens</t>
  </si>
  <si>
    <t>Biodiesel Fund Grant Regulation</t>
  </si>
  <si>
    <t>Man.Reg.91/2010</t>
  </si>
  <si>
    <t>oil_and_gas, financial_and_insurance</t>
  </si>
  <si>
    <t>https://legislation.nimonikapp.com/legislations/3521/legislation_texts</t>
  </si>
  <si>
    <t>https://www.canlii.org/en/mb/laws/regu/man-reg-91-2010/latest/man-reg-91-2010.html</t>
  </si>
  <si>
    <t>Magnet</t>
  </si>
  <si>
    <t>Ethanol Fund Grant Regulation</t>
  </si>
  <si>
    <t>Man.Reg.166/2007</t>
  </si>
  <si>
    <t>https://legislation.nimonikapp.com/legislations/3522/legislation_texts</t>
  </si>
  <si>
    <t>https://www.canlii.org/en/mb/laws/regu/man-reg-166-2007/latest/man-reg-166-2007.html</t>
  </si>
  <si>
    <t>Financial Penalty, Magnet</t>
  </si>
  <si>
    <t>Drainage Control Regulations</t>
  </si>
  <si>
    <t>RRScD-33.1Reg1</t>
  </si>
  <si>
    <t>https://legislation.nimonikapp.com/legislations/3562/legislation_texts</t>
  </si>
  <si>
    <t>https://canlii.ca/t/vh8</t>
  </si>
  <si>
    <t>These Regulations defines the acquisition of permit for drainage works.</t>
  </si>
  <si>
    <t>Environment Uncategorized , Equipment, Energy Management, Fines, Penalties and Sanctions</t>
  </si>
  <si>
    <t>Cables, Pans, Scale, Gate, Signs, Pipe, Railroad, Hose, Dyke, Dams, Energy using equipment, Scales, Deck, Telephones, Financial Penalty, Files, Pumps, Sanction, Violation, Criminal Charge, Berm</t>
  </si>
  <si>
    <t>SS2005,cS-35.03</t>
  </si>
  <si>
    <t>Saskatchewan Watershed Authority Regulations</t>
  </si>
  <si>
    <t>RRScS-35.03Reg1</t>
  </si>
  <si>
    <t>oil_and_gas, financial_and_insurance, mining_and_minerals_industry</t>
  </si>
  <si>
    <t>https://canlii.ca/t/v8w</t>
  </si>
  <si>
    <t>These Regulations prescribes various fees applicable under the Saskatchewan Watershed Authority Act.</t>
  </si>
  <si>
    <t>The Oil and Gas Conservation Regulations</t>
  </si>
  <si>
    <t>RRScO-2.Reg6</t>
  </si>
  <si>
    <t>https://legislation.nimonikapp.com/legislations/3571/legislation_texts</t>
  </si>
  <si>
    <t>https://canlii.ca/t/8qhs</t>
  </si>
  <si>
    <t xml:space="preserve">These Regulations addresses licenses and eligibility requirements, fees, drilling, production operations, prevention of injuries, damages and fires, reporting and penalties. </t>
  </si>
  <si>
    <t>Telephones, Drill, Calipers, Plugs, Vacuums, Bearings, Ducts, Valves, Pumps, Tank, Pipe, Gauges, Gate, Hose, Fittings, Manifolds, Tubing, Aircraft, Drill Bits, Reservoirs, Bit, Files, Signs, Handles, Parallels, Bushings, Level, Receptacles, Generators, Heaters, Regulator, Lights, Floodlights, Pressure Gauges, Hand Wheels, Wheels, Boxes, Tables, Cables, Bin, Presses, Bur, Pans, Nuts, Mill, Vises, Pins, Internal combustion engine, Fuse, Labels, Oilers, Balance, Derrick, Mats, Flags, Anchors, Dams, Ropes, Energy using equipment, Bells, Financial Penalty, Counters, Sanction, Violation, Criminal Charge, Cap, Screws, Tags, Pens, Radio, Gauge</t>
  </si>
  <si>
    <t>https://legislation.nimonikapp.com/legislations/3576/legislation_texts</t>
  </si>
  <si>
    <t>https://canlii.ca/t/833x</t>
  </si>
  <si>
    <t>This regulation administers rules relating to the development of oil and gas in Alberta.  It aims to prevent the waste of oil and gas.  It also encourages development through licensing and approval requirements for drilling and operating facilities.</t>
  </si>
  <si>
    <t>Drill, Telephones, Collar, Floats, Tank, Gauges, Valves, Pumps, Wire, Aircraft, Regulator, Files, Bearings, Scales, Plugs, Reservoirs, Tubing, Cap, Parallels, Signs, Handles, Level, Pillar, Compressors, Fittings, Receptacles, Heaters, Generators, Welders, Torches, Pipe, Gate, Squares, Vehicle, Bags, Labels, Shaft, Boxes, Lights, Compasses, Bin, Pins, Bolt, Core drill, Energy using equipment, Bit, Bells, Pens, Cables, Studs, Hose, Oilers, Counters, Energy efficiency and saving, Sanction, Violation, Criminal Charge, Tags, Gauge, Nuts, Scale, Fuse, Balance, Mats, Train, Ropes, Financial Penalty, Presses, Bur, Ducts, Pans, Mill, Vises, Internal combustion engine, Seats, Derrick, Dams, Trucks, Tables</t>
  </si>
  <si>
    <t>Code of Practice for the Temporary Diversion of Water for Hydrostatic Testing of Pipelines</t>
  </si>
  <si>
    <t>COP-TDWHTP-AB</t>
  </si>
  <si>
    <t>Guidance, standards</t>
  </si>
  <si>
    <t>https://legislation.nimonikapp.com/legislations/3697/legislation_texts</t>
  </si>
  <si>
    <t>http://www.qp.alberta.ca/documents/Codes/diverse.pdf</t>
  </si>
  <si>
    <t>This Code of Practice is enacted under the Water (Ministerial) Regulation (Alta.Reg.205/1998).  It establishes certain notification procedures which must be followed before (s.3.1), during and after hydrostatic testing occurs.  The requirements which must be followed by anyone who undertakes hydrostatic testing are set under s.5 and s.6 outlines the information which must be sent regarding plans for hydrostatic testing.  Finally, s.8 determines the reporting and record-keeping provisions.</t>
  </si>
  <si>
    <t>Telephones, Level, Pipe, Tank, Screen, Bearings, Signs, Tables, Bags, Cables, Regulator, Presses, Ducts, Mill, Gate, Vises, Pins, Ovens, Pile, Floats, Mats, Energy using equipment, Financial Penalty, Cap, Tags, Pens, Sanction, Violation, Criminal Charge</t>
  </si>
  <si>
    <t>RSA2000,cW-3</t>
  </si>
  <si>
    <t>Code of Practice for Pipelines and Telecommunication Lines Crossing a Water Body</t>
  </si>
  <si>
    <t>COP-PTLCW-AB</t>
  </si>
  <si>
    <t>https://legislation.nimonikapp.com/legislations/3698/legislation_texts</t>
  </si>
  <si>
    <t>http://www.qp.alberta.ca/documents/codes/PIPELINE.PDF</t>
  </si>
  <si>
    <t>The Code of Practice for Pipelines and Telecommunication Line Crossing a Water Body (“the COP”) is enacted under the Water Act (RSA2000,cW-3) and aims to minimize the impact of activities associated with pipelines or telecommunications.  It places the responsibility of meeting the requirements of the COP with the owners of these installations.  The COP sets notification requirements before the starting of any work and in the case of emergencies.  It also prescribes certain methods and conditions when constructing pipeline and telecommunication crossings.  This includes a prohibition on certain activities in order to protect the bed or banks of water bodies.  Finally, it requires the owners of crossings to certify constructions, keep certain records and report any activities, which may be found in contravention to the COP.</t>
  </si>
  <si>
    <t>Pipe, Cables, Conduits, Screen, Dams, Vehicle, Wheels, Pumps, Telephones, Wire, Bearings, Scales, Bags, Presses, Bur, Ducts, Pans, Dredge, Mill, Scale, Gate, Pins, Signs, Studs, Pile, Hose, Drill, Punches, Mats, Train, Energy using equipment, Bit, Financial Penalty, Files, Counters, Sanction, Violation, Criminal Charge, Cap, Tags, Pens, Tables</t>
  </si>
  <si>
    <t>Forest and Prairie Protection Act</t>
  </si>
  <si>
    <t>RSA2000,cF-19</t>
  </si>
  <si>
    <t>general, oil_and_gas, forestry</t>
  </si>
  <si>
    <t>https://legislation.nimonikapp.com/legislations/3701/legislation_texts</t>
  </si>
  <si>
    <t>https://canlii.ca/t/81sn</t>
  </si>
  <si>
    <t>The primary objective of this Act is to allow for the desigantion of certain areas of forests as reserves or for forest protection areas.  In addition, it regulates activies that may be done in certain forested areas including: forest fire-related activities, railway operations, pest control and oil and gas pollution clean-up.  Finally the Act sets out offences and allows for the development of regulations.</t>
  </si>
  <si>
    <t>Wildlife and Land Conservation, Emergency Preparedness and Response, Equipment, Energy Management, Fines, Penalties and Sanctions</t>
  </si>
  <si>
    <t>Lights, Aircraft, Vehicle, Locomotive, Timber, Signs, Bench, Files, Cables, Bin, Presses, Bur, Ducts, Pans, Gate, Pins, Racks, Ovens, Fuse, Doors, Hose, Mats, Train, Dams, Ropes, Energy using equipment, Bit, Financial Penalty, Sanction, Violation, Criminal Charge, Cap, Pens</t>
  </si>
  <si>
    <t>RSA2000,cW-10</t>
  </si>
  <si>
    <t>https://legislation.nimonikapp.com/legislations/3705/legislation_texts</t>
  </si>
  <si>
    <t>https://canlii.ca/t/81zm</t>
  </si>
  <si>
    <t xml:space="preserve">Generally, this Act establishes the procedure by which species will be listed as “endangered” and the consequences that follow once a species is designated under the Act.  Notable parts of the Act may be summarized as follows:  Part (pt.) pt.1 gives the Minister of Sustainable Resource Development authority to enable an advisory body to make recommendations on which species should be listed under the Act.  Once a species is designated as “endangered” subsequent steps are prescribed, including the establishment of recovery plans.  The legal framework for licences, permits and other authorizations for activities which may impact certain species may be found under pt.2.  The specific procedure to be followed when applying for licence, permit or other authorization may be found in the Regulations enacted under this Act.  General rules for hunting and other, related activities may be found under pt.3.  Specifically, this Act places a prohibition against the wilful destruction of a listed wildlife species, unless otherwise authorized.  Pt.4 generally prohibits the possession, transport and sale of wildlife, unless otherwise given authorization.  Pt.6 determines how the Act will be enforced, notably it authorizes wildlife officers and guardians to enter and inspect premises that are suspected to contain evidence of activities that would contravene this Act.  Finally, pt.8 determines penalties for those found guilty of contraventions against the Act.
</t>
  </si>
  <si>
    <t>Wildlife and Land Conservation, Equipment, Energy Management, Fines, Penalties and Sanctions</t>
  </si>
  <si>
    <t>Aircraft, Vehicle, Tags, Springs, Wire, Tissues, Lights, Pest Control, Pans, Cap, Cartridges, Clothing, Dams, Bearings, Radio, Telephones, Train, Bench, Signs, Grizzly, Files, Tables, Hooks, Cables, Gauges, Bin, Presses, Ducts, Gate, Vises, Pins, Fuse, Studs, Hose, Doors, Parallels, Davits, Mats, Anchors, Ropes, Energy using equipment, Bit, Financial Penalty, Carts, Sanction, Violation, Criminal Charge, Pens, Gauge</t>
  </si>
  <si>
    <t>https://legislation.nimonikapp.com/legislations/3706/legislation_texts</t>
  </si>
  <si>
    <t>https://canlii.ca/t/82pw</t>
  </si>
  <si>
    <t xml:space="preserve">Generally, these Regulations prescribe specific steps to be taken when certain activities may impact wildlife within Alberta.  Notable parts of the Regulations may be summarized as follows:
Part 1 establishes administrative provisions, for example, it determines compensation for those who have lost livestock.  Part 3 lists the required permits, licences and authorizations for activities related to wildlife including: hunting, research, rehabilitation and outfitting.  Part 4 establishes rules related to hunting.  Notably, prohibitions against the disturbance of wildlife habitat are refined.  However, this part also authorizes the Minister to order the removal of a wildlife habitat, subject to certain terms and conditions.  Pt.5 determines how a person may possess, sell or transport a wildlife species.  Finally, pt.6 sets record retention and reporting requirements for those who hold licences under this Regulation.
</t>
  </si>
  <si>
    <t>Wildlife and Land Conservation, Equipment, Environment Management, Financial Administration, Accounting, Charges, Natural Resource Management, Energy Management, Fines, Penalties and Sanctions</t>
  </si>
  <si>
    <t>Tags, Lights, Telephones, Loops, Vehicle, Horns, Grizzly, Radio, Reservoirs, Tables, Springs, Cables, Train, Dams, Sockets, Signs, Bolt, Gauges, Bearings, Hooks, Parallels, Wire, Boxes, Aircraft, Helicopters, Retrievers, Chairs, Files, Crane, Drill, Brushes, Pans, Squares, Chain, Barrier, Substations, Cap, Timber, Mill, Gate, Brackets, Bags, Pens, Jacks, Gauge, Crane, Ladders, Collar, Bin, Pins, Mops, Ovens, Glass, Level, Energy using equipment, Bit, Bells, Tram, Snips, Nails, Pipe, Hose, Ramp, Jars, Sanders, Grips, Tender, Sanction, Violation, Criminal Charge, Hopper, Catches, Nuts, Scale, Labels, Mats, Chests, Ropes, Shaft, Financial Penalty, Drum, Shovels, Tap, Lamp, Presses, Bur, Wheels, Ducts, Fans, Vises, Racks, Boom, Pile, Slings, Fan, Belts, Sill, Hobs, Saws, Scales, Chucks</t>
  </si>
  <si>
    <t>Directive 038: Noise Control</t>
  </si>
  <si>
    <t>AB.Dir038</t>
  </si>
  <si>
    <t>https://legislation.nimonikapp.com/legislations/3707/legislation_texts</t>
  </si>
  <si>
    <t>https://static.aer.ca/prd/documents/directives/Directive038.pdf</t>
  </si>
  <si>
    <t xml:space="preserve">This Directive sets noise control requirements for operations that are under the jurisdiction of the Alberta Energy Regulator (AER).  It aims to address the environmental and health-related impacts due to noise.  The requirements do not address occupational requirements related to noise-control.  The directive, except for facilities in remote locations, considers noise at the point of the person(s) hearing the noise rather than the operations that are emitting the noise.  </t>
  </si>
  <si>
    <t>Air Emissions and Ambient Air Quality, Equipment, Energy Management, Fines, Penalties and Sanctions</t>
  </si>
  <si>
    <t>Compressors, Doors, Filters, Level, Tables, Trucks, Aircraft, Signs, Mufflers, Barrier, Pumps, Fans, Microphones, Indicators, Vehicle, Train, Brackets, Scales, Sights, Squares, Sponges, Dryers, Sharpeners, Faucets, Mill, Typewriters, Heaters, Air Conditioners, Knives, Humidifiers, Washers, Vacuums, Mixers, Conveyor, Belts, Pipe, Telephones, Deck, Springs, Bin, Mixer, Pins, Hammers, Lights, Energy using equipment, Jacks, Bit, Cap, Pens, Drill, Cables, Regulator, Gate, Studs, Hose, Chairs, Road grader, Motors, Sanction, Violation, Criminal Charge, Tags, Nuts, Electric toothbrush, Scale, Fuse, Balance, Electric can opener, Mats, Ropes, Financial Penalty, Files, Screen, Tap, Energy source, Brushes, Presses, Ducts, Pans, Vises, Racks, Internal combustion engine, Fan, Dams, Electric knife</t>
  </si>
  <si>
    <t>Code of Practice for the Release of Hydrostatic Test Water from Hydrostatic Testing of Petroleum Liquid and Gas Pipelines</t>
  </si>
  <si>
    <t>COP-TWHTPLGP-AB</t>
  </si>
  <si>
    <t>https://legislation.nimonikapp.com/legislations/3708/legislation_texts</t>
  </si>
  <si>
    <t>http://www.qp.alberta.ca/documents/codes/release.pdf</t>
  </si>
  <si>
    <t>This Code addresses situations where water from hydrostatic tests are released into the environment.  The release of this liquid is regulated under the Environmental Protection and Enhancement Act (RSA2000,cE-12).  The Code of Practice requires that a registration number be obtained before the release of 1000 meters cubed (or more) of hydrostatic water (s.3).  It also outlines methodologies for water sample collection and analysis (s.4).  Finally, the Code requires that soil samples be collected an analyzed prior to the release of hydrostatic water (sch.1).</t>
  </si>
  <si>
    <t>Hazardous Materials Management, Security and Public Safety, Equipment, Energy Management, Fines, Penalties and Sanctions</t>
  </si>
  <si>
    <t>Telephones, Tank, Pipe, Conveyance, Tables, Level, Cables, Regulator, Presses, Ducts, Gate, Vises, Pins, Signs, Pile, Mats, Energy using equipment, Bit, Financial Penalty, Sanction, Violation, Criminal Charge, Pens</t>
  </si>
  <si>
    <t>https://legislation.nimonikapp.com/legislations/3709/legislation_texts</t>
  </si>
  <si>
    <t>https://canlii.ca/t/8204</t>
  </si>
  <si>
    <t>This Act applies to pipelines which are:
* a part of refineries, processing plants, coal processing plants, marketing or manufacturing plants,
* pipelines which are transmitting gas or oil for use as a fuel, 
* a boiler, pressure vessel or pressure piping system.  
Part II enables the Alberta Energy Regulator ("the Regulator") to establish rules to regulate various aspects related to pipelines.  Part III establishes the powers and duties of the Regulator.  Part IV establishes the licencing requirements for the constructions and use of pipelines.   Part V of the Act sets the conditions by which the Regulator may suspend activities of a pipeline.  Part VI sets general requirements for the development and management of pipelines, including spills.  Finally, Part VII determines various the rights relating to the construction and operation pipelines.</t>
  </si>
  <si>
    <t>Financial Administration, Accounting, Charges, Security and Public Safety, Environment Management, Equipment, Energy Management, Fines, Penalties and Sanctions</t>
  </si>
  <si>
    <t>Pipe, Regulator, Bin, Presses, Ducts, Bench, Pans, Gate, Vises, Pins, Racks, Signs, Fuse, Tank, Hose, Oilers, Parallels, Level, Balance, Mats, Dams, Ropes, Energy using equipment, Bit, Financial Penalty, Fittings, Files, Sanction, Violation, Criminal Charge, Cap, Tables, Pens, Drill</t>
  </si>
  <si>
    <t>Pipeline Rules</t>
  </si>
  <si>
    <t>Alta.Reg.91/2005</t>
  </si>
  <si>
    <t>https://legislation.nimonikapp.com/legislations/3710/legislation_texts</t>
  </si>
  <si>
    <t>https://canlii.ca/t/835r</t>
  </si>
  <si>
    <t xml:space="preserve">This Regulation sets requirements for the design, construction, operation and maitenance, including the discontinuation and abandonment of pipelines.  It sets specific requirements for the inspection, documentation and record keeping for pipelines.  </t>
  </si>
  <si>
    <t>Security and Public Safety, Equipment, Energy Management, Fines, Penalties and Sanctions</t>
  </si>
  <si>
    <t>Valves, Fittings, Vehicle, Level, Pipe, Regulator, Files, Bearings, Signs, Manifolds, Alarms, Conduits, Markers, Parallels, Brushes, Telephones, Compressors, Loops, Plugs, Cap, Tags, Heaters, Squares, Cables, Bin, Presses, Bur, Ducts, Pans, Mill, Gate, Vises, Pins, Racks, Mops, Fuse, Labels, Hose, Oilers, Balance, Mats, Train, Dams, Ropes, Energy using equipment, Bit, Trucks, Bells, Financial Penalty, Pumps, Sanction, Violation, Criminal Charge, Tables, Pens, Drill</t>
  </si>
  <si>
    <t>https://legislation.nimonikapp.com/legislations/3711/legislation_texts</t>
  </si>
  <si>
    <t>https://www.canlii.org/en/ab/laws/stat/sa-2012-c-r-17.3/latest/sa-2012-c-r-17.3.html</t>
  </si>
  <si>
    <t xml:space="preserve">This new Act will replace the Energy Resources Conservation Act,  notable features of the new Act include:
* The establishment of a single regulating agency, the Alberta Energy Regulator (AER), for oil, gas, oilsands and coal in the province.
* Fines (up to $500 000) for persons or corporations who break the law.
* The option for landowners to register for "private-surface agreement" which can then be enforced.  </t>
  </si>
  <si>
    <t>Regulator, Chairs, Bench, Files, Cables, Bin, Presses, Ducts, Nuts, Pans, Gate, Pins, Signs, Pipe, Studs, Hose, Mats, Train, Dams, Ropes, Energy using equipment, Bit, Financial Penalty, Sanction, Violation, Criminal Charge, Cap, Pens</t>
  </si>
  <si>
    <t>Oil and Gas Waste Regulation</t>
  </si>
  <si>
    <t>BCReg254/2005</t>
  </si>
  <si>
    <t>https://legislation.nimonikapp.com/legislations/3721/legislation_texts</t>
  </si>
  <si>
    <t>https://canlii.ca/t/856g</t>
  </si>
  <si>
    <t>The section contains regulations pertaining to oil and gas waste.</t>
  </si>
  <si>
    <t>Air Emissions and Ambient Air Quality, Water Use and Wastewater Management, Waste Management, Equipment, Energy Management, Fines, Penalties and Sanctions</t>
  </si>
  <si>
    <t>Vehicle, Tank, Compressors, Plugs, Fans, Heaters, Air Conditioners, Drill, Reservoirs, Generators, Pumps, Pipe, Valves, Level, Tables, Bin, Presses, Ducts, Mill, Vises, Pins, Signs, Internal combustion engine, Hose, Fan, Mats, Ropes, Energy using equipment, Shaft, Bit, Financial Penalty, Sanction, Violation, Criminal Charge, Cap, Pens</t>
  </si>
  <si>
    <t>Gas Pipe Line Excavations Regulation</t>
  </si>
  <si>
    <t>ManReg140/92</t>
  </si>
  <si>
    <t>https://legislation.nimonikapp.com/legislations/3746/legislation_texts</t>
  </si>
  <si>
    <t>https://canlii.ca/t/8fcb</t>
  </si>
  <si>
    <t>This section contains regulations pertaining to gas pipe line excavation.</t>
  </si>
  <si>
    <t>Environment Management, Natural Resource Management, Security and Public Safety, Equipment, Energy Management, Fines, Penalties and Sanctions</t>
  </si>
  <si>
    <t>Level, Pipe, Excavator, Financial Penalty, Cables, Bin, Mats, Sanction, Violation, Criminal Charge, Cap, Dams, Energy using equipment, Vises, Pins, Conduits</t>
  </si>
  <si>
    <t>CCSMcG50</t>
  </si>
  <si>
    <t>G-14—Policy on granting conditional permission for using gas meters in service without verification and sealing at the low intervention trade transaction level of the natural gas market</t>
  </si>
  <si>
    <t>G-14PolicyforGasMeters</t>
  </si>
  <si>
    <t>https://www.ic.gc.ca/eic/site/mc-mc.nsf/eng/lm00035.html</t>
  </si>
  <si>
    <t>The purpose of this bulletin is to communicate the requirements for granting of conditional permission for the use of gas meters without verification and sealing, at the Low Intervention Trade Transaction level of the natural gas market.</t>
  </si>
  <si>
    <t>Environment Management, Equipment, Energy Management, Fines, Penalties and Sanctions</t>
  </si>
  <si>
    <t>Level, Mill, Glass, Files, Cables, Presses, Ducts, Pans, Vises, Pins, Signs, Pipe, Labels, Hose, Mats, Energy using equipment, Bells, Financial Penalty, Tables, Pens</t>
  </si>
  <si>
    <t>RSC1985,cE-4</t>
  </si>
  <si>
    <t>G-14 — Politique sur l'octroi d'une autorisation conditionnelle de mise en service des compteurs de gaz sans vérification ni scellage, dans le cadre d'une transaction commerciale de faible intervention du marché du gaz naturel</t>
  </si>
  <si>
    <t>G-14PolitqueCompteursdeGaz</t>
  </si>
  <si>
    <t>https://www.ic.gc.ca/eic/site/mc-mc.nsf/fra/lm00035.html</t>
  </si>
  <si>
    <t>Le présent bulletin vise à communiquer les exigences relatives à l'octroi d'une autorisation conditionnelle de mise en service de compteurs de gaz sans vérification ni scellage, dans le cadre d'une transaction commerciale de faible intervention du marché du gaz naturel.</t>
  </si>
  <si>
    <t>G-18—Reverification periods for gas meters, ancillary devices and metering installations</t>
  </si>
  <si>
    <t>G-18-ReverificationPeriods</t>
  </si>
  <si>
    <t>https://www.ic.gc.ca/eic/site/mc-mc.nsf/eng/lm00607.html</t>
  </si>
  <si>
    <t>The purpose of this bulletin is to communicate the reverification periods for gas meters, ancillary devices (including volume conversion devices) and metering installations, as established pursuant to the Electricity and Gas Inspection Act, and to provide associated policies.</t>
  </si>
  <si>
    <t>Safety Management, Equipment, Energy Management, Fines, Penalties and Sanctions</t>
  </si>
  <si>
    <t>Lights, Tables, Recorders, Signs, Financial Penalty, Cables, Bin, Presses, Mats, Hose, Pans, Cap, Energy using equipment, Vises</t>
  </si>
  <si>
    <t>G-18 — Périodes de revérification pour les compteurs de gaz, les appareils auxiliaires et les installations de mesure</t>
  </si>
  <si>
    <t>G-18-PériodesdeRevérification</t>
  </si>
  <si>
    <t>https://www.ic.gc.ca/eic/site/mc-mc.nsf/fra/lm00607.html</t>
  </si>
  <si>
    <t>Le présent bulletin a pour but de communiquer les périodes de revérification applicables aux compteurs de gaz, aux appareils auxiliaires (y compris les appareils de conversion du volume) et aux installations de mesure définies dans la Loi sur l'inspection de l'électricité et du gaz et de présenter les politiques connexes.</t>
  </si>
  <si>
    <t>S-A-01:2017—Criteria for the accreditation of organizations to perform inspections pursuant to the Electricity and Gas Inspection Act and the Weights and Measures Act</t>
  </si>
  <si>
    <t>S-A-01-CA</t>
  </si>
  <si>
    <t>http://spectrumdirect.ic.gc.ca/eic/site/mc-mc.nsf/eng/lm00432.html</t>
  </si>
  <si>
    <t>This document contains the quality management criteria and administrative requirements that organizations must meet in order to obtain and maintain accreditation to perform inspections pursuant to the Weights and Measures Act or the Electricity and Gas Inspection Act. Compliance with all of the relevant criteria and requirements defined in this document is a prerequisite to obtaining and maintaining accreditation.</t>
  </si>
  <si>
    <t>Dispensers, Vehicle, Scales, Conveyor, Belts, Level, Indicators, Tables, Signs, Test Weights, Cables, Regulator, Bin, Presses, Ducts, Pans, Scale, Gate, Vises, Pins, Energy consumption and conservation, Hose, Mats, Train, Dams, Ropes, Energy using equipment, Thermometer, Financial Penalty, Sanction, Violation, Criminal Charge, Cap, Pens, Fuse</t>
  </si>
  <si>
    <t>S-A-01:2017 — Critères d'accréditation des organismes souhaitant effectuer des inspections conformément à la Loi sur l'inspection de l'électricité et du gaz et à la Loi sur les poids et mesures</t>
  </si>
  <si>
    <t>S-A-01FR-CA</t>
  </si>
  <si>
    <t>http://spectrumdirect.ic.gc.ca/eic/site/mc-mc.nsf/fra/lm00432.html</t>
  </si>
  <si>
    <t>Le présent document renferme les critères en management de la qualité et les exigences administratives que doivent respecter les organismes pour obtenir et maintenir l'accréditation leur permettant d'effectuer des inspections conformément à la Loi sur les poids et mesures ou à la Loi sur l'inspection de l'électricité et du gaz. La conformité à tous les critères et à toutes les exigences applicables définis dans le présent document constitue une exigence préalable pour obtenir et conserver l'accréditation.</t>
  </si>
  <si>
    <t>S-G-05—Specifications for the in-situ verification, reverification, installation and use of flow computers and transmitters</t>
  </si>
  <si>
    <t>S-G-05</t>
  </si>
  <si>
    <t>http://www.competitionbureau.gc.ca/eic/site/mc-mc.nsf/eng/lm04242.html</t>
  </si>
  <si>
    <t>This specification applies to High Intervention Trade Transaction level metering sites where a flow computer has been installed. This specification does not apply to Low Intervention Trade Transaction level metering sites granted conditional permission under Bulletin G-14 for using gas meters in service without verification and sealing.</t>
  </si>
  <si>
    <t>Calculators, Resistance Temperature Detectors, Microprocessors, Transducers, Tables, Indicators, Generators, Level, Cables, Bin, Presses, Ducts, Energy consumption and conservation, Signs, Hose, Mats, Dams, Ropes, Energy using equipment, Financial Penalty, Sanction, Violation, Criminal Charge, Cap</t>
  </si>
  <si>
    <t>S-G-05—Norme visant la vérification, la revérification, l’installation et l’utilisation sur place de débitmètres-ordinateurs et de transmetteurs</t>
  </si>
  <si>
    <t>S-G-05FR</t>
  </si>
  <si>
    <t>http://www.competitionbureau.gc.ca/eic/site/mc-mc.nsf/fra/lm04242.html</t>
  </si>
  <si>
    <t>La présente norme vise les sites de mesure où se déroulent des transactions commerciales de haute intervention où un débitmètre-ordinateur a été installé. La présente norme ne s'applique pas aux sites de mesure où se déroulent des transactions commerciales de faible intervention à moins qu'une autorisation conditionnelle, émise en vertu du bulletin G-14, n'ait été octroyée pour la mise en service des débitmètres-ordinateurs sans vérification ni scellage.</t>
  </si>
  <si>
    <t>National Energy Board Act</t>
  </si>
  <si>
    <t>https://legislation.nimonikapp.com/legislations/3756/legislation_texts</t>
  </si>
  <si>
    <t>https://canlii.ca/t/7vjn</t>
  </si>
  <si>
    <t>The purpose of the National Energy Board Act is to regulate pipelines, energy development and trade in the Canadian public interest.</t>
  </si>
  <si>
    <t>Hazardous Materials Management, Natural Resource Management, General Facility Design and Operation, Land Use, Communications and Utilities, Security and Public Safety, Border Control and Transboundary Movement of Goods and Persons, Financial Administration, Accounting, Charges, Environment Management, Equipment, Energy Management, Fines, Penalties and Sanctions</t>
  </si>
  <si>
    <t>Vehicle, Aircraft, Compressors, Telephones, Tank, Radio, Pumps, Reservoirs, Trucks, Wire, Racks, Regulator, Reference Books, Files, Scales, Pipe, Cables, Bin, Presses, Bur, Ducts, Pans, Nuts, Mill, Scale, Gate, Vises, Pins, Signs, Fuse, Studs, Hose, Chairs, Balance, Mats, Dams, Ropes, Energy using equipment, Bit, Financial Penalty, Tender, Sanction, Violation, Criminal Charge, Cap, Tables, Tags, Pens, Drill</t>
  </si>
  <si>
    <t>Loi sur l'Office national de l'énergie</t>
  </si>
  <si>
    <t>LRC1985,cN-7</t>
  </si>
  <si>
    <t>https://legislation.nimonikapp.com/legislations/172721/legislation_texts</t>
  </si>
  <si>
    <t>https://www.canlii.org/fr/ca/legis/lois/lrc-1985-c-n-7/derniere/lrc-1985-c-n-7.html</t>
  </si>
  <si>
    <t>Le but de la Loi sur l'Office national de l'énergie est de réglementer les pipelines, le développement de l'énergie et du commerce dans l'intérêt public canadien.</t>
  </si>
  <si>
    <t>Management System and Protection Program Audit Protocol</t>
  </si>
  <si>
    <t>NEB-MSPPAuditProtocol</t>
  </si>
  <si>
    <t>https://legislation.nimonikapp.com/legislations/3757/legislation_texts</t>
  </si>
  <si>
    <t>https://www.cer-rec.gc.ca/bts/ctrg/gnnb/nshrppln/dtprtcl-eng.html</t>
  </si>
  <si>
    <t>The Regulator uses this standardized audit protocol to assist in both organizing and communicating its management system and protection program requirements, and in verifying that a company’s management system and protection programs meet Legal Requirements.</t>
  </si>
  <si>
    <t>Regulator, Tables, Cap, Level, Cables, Bin, Ducts, Pans, Gate, Vises, Pins, Signs, Pipe, Hose, Mats, Train, Dams, Ropes, Energy using equipment, Financial Penalty, Sanction, Violation, Criminal Charge, Pens</t>
  </si>
  <si>
    <t>Protocole de vérification du système de gestion et des programmes de protection</t>
  </si>
  <si>
    <t>ONE-ProtocoledevérificationSGPP</t>
  </si>
  <si>
    <t>https://www.cer-rec.gc.ca/bts/ctrg/gnnb/nshrppln/dtprtcl-fra.html</t>
  </si>
  <si>
    <t>Le protocole de vérification uniformisé qu’utilise la Régie aide à organiser et à communiquer ses exigences relativement aux systèmes de gestion et aux programmes de protection des sociétés et permet de vérifier leur conformité aux exigences légales.</t>
  </si>
  <si>
    <t>Canadian Energy Regulator Onshore Pipeline Regulations</t>
  </si>
  <si>
    <t>SOR/99-294</t>
  </si>
  <si>
    <t>https://legislation.nimonikapp.com/legislations/3758/legislation_texts</t>
  </si>
  <si>
    <t>https://canlii.ca/t/80wg</t>
  </si>
  <si>
    <t>This Regulation applies to oil and gas companies that are under the jurisdiction of the Canadian Energy Regulator.  It does not apply to hydrocarbon processing plants. It provides requirements for the the design, construction, operation and abandonment of onshore pipelines. The Regulation sets specific requirements for reporting, auditing and record retention.</t>
  </si>
  <si>
    <t>Air Emissions and Ambient Air Quality, Water Use and Wastewater Management, Waste Management, Safety Management, General Facility Design and Operation, Emergency Preparedness and Response, Occupational Health, Security and Public Safety, Communications and Utilities, Environment Management, Equipment, Hazardous Materials Management, Chemicals Management, Natural Resource Management, Industrial Relations and Human Resources, Energy Management, Fines, Penalties and Sanctions</t>
  </si>
  <si>
    <t>Regulator, Sights, Pipe, Level, Compressors, Pumps, Signs, Telephones, Valves, Alarms, Mill, Tank, Cables, Presses, Bur, Ducts, Pans, Gate, Pins, Hose, Lights, Mats, Train, Dams, Ropes, Energy using equipment, Financial Penalty, Sanction, Violation, Criminal Charge, Cap, Tables, Tags, Pens, Radio</t>
  </si>
  <si>
    <t>Règlement de la Régie canadienne de l’énergie sur les pipelines terrestres</t>
  </si>
  <si>
    <t>DORS/99-294</t>
  </si>
  <si>
    <t>https://legislation.nimonikapp.com/legislations/172759/legislation_texts</t>
  </si>
  <si>
    <t>https://canlii.ca/t/cq0s</t>
  </si>
  <si>
    <t>Ce Règlement s'applique aux entreprises pétrolières et gazières œuvrant sous l'égide de la Régie canadienne de l’énergie. Il ne s'applique pas aux usines de traitement d'hydrocarbures. Il contient des exigences relatives à la conception, la construction, le fonctionnement et la fermeture de pipelines terrestres. Le règlement contient des exigences spécifiques pour les rapports, la vérification et la tenue de registres.</t>
  </si>
  <si>
    <t>Canadian Energy Regulator Pipeline Damage Prevention Regulations – Obligations of Pipeline Companies</t>
  </si>
  <si>
    <t>SOR/2016-133</t>
  </si>
  <si>
    <t>https://legislation.nimonikapp.com/legislations/3760/legislation_texts</t>
  </si>
  <si>
    <t>https://canlii.ca/t/8zdx</t>
  </si>
  <si>
    <t>These Regulations are part of the framework for pipeline damage prevention which is overseen by the Canadian Energy Regulator (the “CER”). The Regulations apply to any CER-regulated pipeline company and to any person planning or undertaking an activity near a CER-regulated pipeline. Pipeline companies are required to ensure that people know how to safely conduct activities near pipelines, and people planning activities near pipelines are required to confirm the location of pipelines and meet all conditions for authorization before they start these activities. (source: Guidance Notes – NEB Regulations for Pipeline Damage Prevention, June 2016).
These Regulations set out obligations of pipeline companies related to a) the requirement to be a member of a one-call centre, b) the information that must be provided when a person intends to carry out an activity on or near a pipeline, c) records and reports, and d) the development, implementation and maintenance of a damage prevention program.</t>
  </si>
  <si>
    <t>Vehicle, Pipe, Telephones, Regulator, Conduits, Pans, Signs, Fuse, Hose, Mats, Dams, Ropes, Energy using equipment, Files, Sanction, Violation, Criminal Charge, Pens, Ducts, Financial Penalty</t>
  </si>
  <si>
    <t>Règlement de la Régie canadienne de l’énergie sur la prévention des dommages aux pipelines (obligations des compagnies pipelinières)</t>
  </si>
  <si>
    <t>DORS/2016-133</t>
  </si>
  <si>
    <t>https://legislation.nimonikapp.com/legislations/172963/legislation_texts</t>
  </si>
  <si>
    <t>https://canlii.ca/t/dnj8</t>
  </si>
  <si>
    <t>Ce règlement s’inscrit dans le cadre réglementaire pour la prévention des dommages aux pipelines, sous l’égide de la Régie canadienne de l’énergie (« la RCÉ »). Le règlement s’applique aux compagnies pipelinières réglementées par la Régie, ainsi qu’à toute personne prévoyant mener ou menant une activité à proximité des pipelines réglementés par la Régie. Les compagnies pipelinières doivent s’assurer que les exécutants savent comment mener des activités à proximité des pipelines en toute sécurité, alors que ceux qui s’en acquitteront sont tenus de confirmer l’emplacement des pipelines et de remplir toutes les conditions d’autorisation imposées avant de commencer. (Référence : Note d’orientation – Règlements de l’Office national de l’énergie sur la prévention des dommages aux pipelines, juin 2016).
Ce règlement établit les obligations des compagnies pipelinières concernant a) l’exigence d’être membre d’un centre d’appel unique , b) l’information à fournir par toute personne prévoyant mener une activité sur ou à proximité d’une pipeline , c) les dossiers et les rapports , et d) le développement, la mise en œuvre et la continuité du programme de prévention.</t>
  </si>
  <si>
    <t>NEB Emergency Procedures Manuals</t>
  </si>
  <si>
    <t>NEB-EPM</t>
  </si>
  <si>
    <t>Guidance, notices</t>
  </si>
  <si>
    <t>https://www.cer-rec.gc.ca/bts/ctrg/gnnb/nshrppln/2015-03-26nbl-eng.html</t>
  </si>
  <si>
    <t xml:space="preserve">This document provides updates regarding the Emergency Procedures Manuals that are filed under subsection 32(2) of the National Energy Board Onshore Pipeline Regulations (OPR) and section 35 of the National Energy Board Processing Plant Regulations (PPR).
</t>
  </si>
  <si>
    <t>Emergency Preparedness and Response, Equipment, Energy Management, Fines, Penalties and Sanctions</t>
  </si>
  <si>
    <t>Files, Cables, Regulator, Presses, Bur, Ducts, Pans, Gate, Pins, Signs, Pipe, Mats, Ropes, Energy using equipment, Financial Penalty, Tables, Tags, Pens, Drill</t>
  </si>
  <si>
    <t>ONE Manuels des mesures d'urgence</t>
  </si>
  <si>
    <t>NEB-EPM-FR</t>
  </si>
  <si>
    <t>https://www.cer-rec.gc.ca/bts/ctrg/gnnb/nshrppln/2015-03-26nbl-fra.html</t>
  </si>
  <si>
    <t>Ce document fournit des mises à jour importantes visant les manuels des mesures d’urgence qui sont déposés aux termes du paragraphe 32(2) du Règlement de l’Office national de l’énergie sur les pipelines terrestres (le RPT) et du Règlement de l’Office national de l’énergie sur les usines de traitement (le RUT)</t>
  </si>
  <si>
    <t>https://legislation.nimonikapp.com/legislations/3762/legislation_texts</t>
  </si>
  <si>
    <t>https://www.cer-rec.gc.ca/en/applications-hearings/submit-applications-documents/filing-manuals/filing-manual/index.html</t>
  </si>
  <si>
    <t xml:space="preserve">The Filing Manual is designed to assist applicants seeking the Canadian Energy Regulator (CER) approval in understanding the Regulator’s expectations about the information to include in an application under the National Energy Board Act or the Canadian Energy Regulator Act.
</t>
  </si>
  <si>
    <t>Pipe, Fire suppression, Chain, Pumps, Compressors, Parallels, Mops, Fittings, Drill, Tank, Valves, Lights, Transducers, Concentrator, Vehicle, Regulator, Racks, Tissues, Telephones, Radio, Tables, Reservoirs, Level, Chairs, Boxes, Envelopes, Files, Squares, Binder, Scales, Timber, Wire, Bearings, Indicators, Sights, Calculators, Screen, Handles, Railroad, Water lines, Bells, Folders, Mill, Conveyance, Alarms, Vacuums, Loops, Conduits, Compasses, Bin, Pins, Ovens, Energy using equipment, Bit, Cap, Pens, Cables, Gate, Signs, Studs, Hose, Oilers, Tender, Counters, Sanction, Violation, Criminal Charge, Tags, Nuts, Scale, Davits, Floats, Balance, Mats, Train, Ropes, Financial Penalty, Energy source, Presses, Bur, Ducts, Pans, Fans, Vises, Fan, Plugs, Dams, Kayak, Dredge, Clocks, Energy consumption and conservation, Labels, Magnet, Energy efficiency and saving</t>
  </si>
  <si>
    <t>https://www.cer-rec.gc.ca/en/applications-hearings/submit-applications-documents/filing-manuals/filing-manual/filing-manual.pdf</t>
  </si>
  <si>
    <t>Guide de dépôt</t>
  </si>
  <si>
    <t>REC-GuideDépôt</t>
  </si>
  <si>
    <t>https://www.cer-rec.gc.ca/fr/demandes-audiences/deposer-demande-documents/guides-depot/guide-depot/index.html</t>
  </si>
  <si>
    <t>Le Guide de dépôt est conçu pour aider les demandeurs à obtenir l'approbation de la Régie de l’énergie du Canada (RCÉ) afin de comprendre les attentes de la Régie concernant l'information à inclure dans une demande en vertu de la Loi sur l'Office national de l'énergie ou de la Loi sur la Régie canadienne de l'énergie.</t>
  </si>
  <si>
    <t>https://www.cer-rec.gc.ca/fr/demandes-audiences/deposer-demande-documents/guides-depot/guide-depot/guide-depot.pdf</t>
  </si>
  <si>
    <t>Pipeline Performance Measures Reporting Guidance</t>
  </si>
  <si>
    <t>CA-CER-PerformanceMeasuresGuidance</t>
  </si>
  <si>
    <t>https://legislation.nimonikapp.com/legislations/3763/legislation_texts</t>
  </si>
  <si>
    <t>https://www.cer-rec.gc.ca/en/safety-environment/industry-performance/pipeline-performance-measures/pipeline-performance-measures-reporting-guidance.pdf</t>
  </si>
  <si>
    <t>This guide serves to assist certain NEB-regulated companies that own or operate pipelines to annually report on new performance measures.</t>
  </si>
  <si>
    <t>Lagging, Telephones, Compressors, Tank, Pumps, Level, Scales, Drill, Pipe, Tables, Valves, Alarms, Barrier, Berm, Excavator, Vehicle, Cables, Bin, Sights, Presses, Ducts, Pans, Scale, Gate, Vises, Pins, Racks, Ovens, Signs, Hose, Lights, Mats, Train, Dams, Ropes, Energy using equipment, Bit, Financial Penalty, Counters, Sanction, Violation, Criminal Charge, Cap, Tags, Pens</t>
  </si>
  <si>
    <t>https://www.cer-rec.gc.ca/en/safety-environment/industry-performance/pipeline-performance-measures/pipeline-performance-measures-reporting-guidance.html</t>
  </si>
  <si>
    <t>Directives relatives aux rapports sur les mesures de rendement des pipelines</t>
  </si>
  <si>
    <t>CA-REC-DirectivesMesuresRendement</t>
  </si>
  <si>
    <t>https://legislation.nimonikapp.com/legislations/173022/legislation_texts</t>
  </si>
  <si>
    <t>https://www.cer-rec.gc.ca/fr/securite-environnement/rendement-lindustrie/mesures-rendement-pipelines/directives-relatives-rapports-mesures-rendement-pipelines.pdf</t>
  </si>
  <si>
    <t>À venir</t>
  </si>
  <si>
    <t>https://www.cer-rec.gc.ca/fr/securite-environnement/rendement-lindustrie/mesures-rendement-pipelines/directives-relatives-rapports-mesures-rendement-pipelines.html</t>
  </si>
  <si>
    <t>Remediation Process Guide</t>
  </si>
  <si>
    <t>CA-CER-RemediationProcessGuide</t>
  </si>
  <si>
    <t>https://legislation.nimonikapp.com/legislations/3764/legislation_texts</t>
  </si>
  <si>
    <t>https://www.cer-rec.gc.ca/en/safety-environment/environment/remediation/remediation-process-guide-2020/remediation-process-guide.pdf</t>
  </si>
  <si>
    <t>This Guide applies to NEB-regulated facilities under the National Energy Board Act (NEB Act) and the Canada Oil and Gas Operations Act (COGOA). At a minimum this Guide applies to: remediation of residual contamination in soil and groundwater to an appropriate standard, remediation of all spill sites whether the spill is reportable or not, off-site contamination remediation, and historic contamination events.</t>
  </si>
  <si>
    <t>Regulator, Sorbents, Level, Indicators, Tables, Files, Telephones, Conduits, Parallels, Squares, Tank, Pumps, Compressors, Scales, Tissues, Cables, Bin, Sights, Presses, Bur, Ducts, Pans, Scale, Gate, Vises, Pins, Racks, Signs, Pipe, Studs, Pile, Hose, Drill, Lights, Mats, Dams, Ropes, Energy using equipment, Bit, Financial Penalty, Magnet, Counters, Sanction, Violation, Criminal Charge, Cap, Tags, Pens, Screen, Bench, Radio</t>
  </si>
  <si>
    <t>https://www.cer-rec.gc.ca/sftnvrnmnt/nvrnmnt/rmdtnprcssgd/index-eng.html</t>
  </si>
  <si>
    <t>Guide sur le processus de réhabilitation</t>
  </si>
  <si>
    <t>CA-REC-GuideRéhabilitation</t>
  </si>
  <si>
    <t>https://legislation.nimonikapp.com/legislations/173000/legislation_texts</t>
  </si>
  <si>
    <t>https://www.cer-rec.gc.ca/fr/securite-environnement/environnement/assainissement/guide-processus-assainissement-2020/guide-processus-assainissement-2020.pdf</t>
  </si>
  <si>
    <t>https://www.cer-rec.gc.ca/fr/securite-environnement/environnement/assainissement/index.html</t>
  </si>
  <si>
    <t>Operations and Maintenance Activities on Pipelines under the National Energy Board Act - Requirements and Guidance Notes</t>
  </si>
  <si>
    <t>CA-CER-OperationsandMaintenanceGuidanceNotes</t>
  </si>
  <si>
    <t>https://legislation.nimonikapp.com/legislations/3765/legislation_texts</t>
  </si>
  <si>
    <t>https://www.cer-rec.gc.ca/bts/ctrg/gnnb/nshrppln/2015-07-17nbl-eng.pdf</t>
  </si>
  <si>
    <t>This section contains regulations, guidance notes and related documents under the NEB.</t>
  </si>
  <si>
    <t>Files, Screen, Compressors, Folders, Parallels, Pumps, Tables, Level, Mops, Pipe, Tap, Vehicle, Bearings, Racks, Telephones, Tank, Radio, Reservoirs, Boxes, Cables, Regulator, Sights, Presses, Ducts, Pans, Gate, Pins, Signs, Hose, Loops, Lights, Mats, Ropes, Energy using equipment, Bit, Financial Penalty, Sanction, Violation, Criminal Charge, Cap, Tags, Pens, Studs</t>
  </si>
  <si>
    <t>https://www.cer-rec.gc.ca/bts/ctrg/gnnb/nshrppln/2015-07-17nbl-eng.html</t>
  </si>
  <si>
    <t>Activités d’exploitation et d’entretien des pipelines sous le régime de la Loi sur l’Office national de l’énergie - Exigences et notes d’orientation</t>
  </si>
  <si>
    <t>CA-REC-ExigencesNotesD’orientation</t>
  </si>
  <si>
    <t>https://legislation.nimonikapp.com/legislations/172996/legislation_texts</t>
  </si>
  <si>
    <t>https://www.cer-rec.gc.ca/bts/ctrg/gnnb/nshrppln/2015-07-17nbl-fra.pdf</t>
  </si>
  <si>
    <t>https://www.cer-rec.gc.ca/bts/ctrg/gnnb/nshrppln/2015-07-17nbl-fra.html</t>
  </si>
  <si>
    <t>Oil and Gas Pipeline Systems</t>
  </si>
  <si>
    <t>OReg210/01</t>
  </si>
  <si>
    <t>https://legislation.nimonikapp.com/legislations/3768/legislation_texts</t>
  </si>
  <si>
    <t>https://canlii.ca/t/rm1</t>
  </si>
  <si>
    <t xml:space="preserve">This Regulation pertains to the design, construction, operation and maintenance of oil and gas industry pipeline systems that convey liquid hydrocarbons, including crude oil, condensate, liquid petroleum products, natural gas liquids and liquefied petroleum gas, and gas. </t>
  </si>
  <si>
    <t>Security and Public Safety, Environment Management, Hazardous Materials Management, Safety Management, Occupational Health, Equipment, Energy Management, Fines, Penalties and Sanctions</t>
  </si>
  <si>
    <t>Handles, Vehicle, Pipe Fittings, Pumps, Tank, Valves, Pipe, Compressors, Motor vehicle, Labels, Fittings, Motors, Telephones, Regulator, Level, Files, Cables, Presses, Ducts, Pans, Mill, Pins, Signs, Fuse, Hose, Mats, Dams, Ropes, Energy using equipment, Financial Penalty, Sanction, Violation, Criminal Charge, Tables, Pens</t>
  </si>
  <si>
    <t>https://legislation.nimonikapp.com/legislations/3800/legislation_texts</t>
  </si>
  <si>
    <t>https://static.aer.ca/prd/documents/manuals/Manual001.pdf</t>
  </si>
  <si>
    <t>The main purpose of this Manual is to aid the personnel of the Alberta Energy Regulator to ensure that oil and gas production and processing facilities, injection and disposal facilities, custom treating plants, waste management facilities and well sites are inspected in a consistent manner.  The Manual is divided into the following categories: Gas Facilities, Oil Facilities, Waste Facilities, and Well Site Inspections.  Each section contains a short description and a risk level associated with non-compliance.</t>
  </si>
  <si>
    <t>Environment Management, Safety Management, Waste Management, Water Use and Wastewater Management, Equipment, Energy Management, Fines, Penalties and Sanctions</t>
  </si>
  <si>
    <t>Tables, Tap, Recorders, Tags, Tank, Pipe, Drum, Signs, Valves, Heaters, Hose, Level, Telephones, Trucks, Generators, Barrier, Vehicle, Gauges, Boxes, Pumps, Handles, Plugs, Cap, Reservoirs, Regulator, Controllers, Compressors, Shaft sinking equipment, Berm, Bags, Bin, Files, Bearings, Dams, Drill, Alarms, Cables, Catches, Presses, Bur, Ducts, Pans, Vises, Pins, Racks, Internal combustion engine, Doors, Pile, Chain, Lights, Mats, Ropes, Energy using equipment, Bit, Financial Penalty, Counters, Pens, Gauge, Brushes, Gate, Fuse, Labels, Sinks, Train, Timber, Screen, Bells, Sanction, Violation, Criminal Charge, Radio</t>
  </si>
  <si>
    <t>Canadian Transportation Accident Investigation and Safety Board Act</t>
  </si>
  <si>
    <t>SC1989,c3</t>
  </si>
  <si>
    <t>oil_and_gas, road_transportation, water_transportation, air_transportation, rail_transportation</t>
  </si>
  <si>
    <t>https://legislation.nimonikapp.com/legislations/3803/legislation_texts</t>
  </si>
  <si>
    <t>https://canlii.ca/t/7vpr</t>
  </si>
  <si>
    <t xml:space="preserve">This Act governs aviation, marine, and pipeline incidents that take place under Canadian jurisdiction and railway incidents under parliamentary authority. It dictates the make-up, duties and powers of the Canadian Transportation Accident Investigation and Safety Board as well as how investigations and public inquiries are carried out. 
</t>
  </si>
  <si>
    <t>Security and Public Safety, Environment Management, Equipment, Energy Management, Fines, Penalties and Sanctions</t>
  </si>
  <si>
    <t>Aircraft, Crane, Compressors, Locomotive, Tank, Pumps, Wheels, Reservoirs, Motors, Racks, Vehicle, Motor vehicle, Conveyance, Telephones, Tissues, Deck, Relay, Regulator, Train, Controllers, Radio, Cables, Bin, Presses, Bur, Ducts, Pans, Gate, Vises, Pins, Signs, Fuse, Pipe, Studs, Hose, Chairs, Balance, Crane, Lights, Mats, Ropes, Energy using equipment, Bit, Financial Penalty, Tender, Sanction, Violation, Criminal Charge, Cap, Tables, Pens</t>
  </si>
  <si>
    <t>Loi sur le Bureau canadien d’enquête sur les accidents de transport et de la sécurité des transports</t>
  </si>
  <si>
    <t>LC1989,c3</t>
  </si>
  <si>
    <t>https://legislation.nimonikapp.com/legislations/172987/legislation_texts</t>
  </si>
  <si>
    <t>https://canlii.ca/t/ckt3</t>
  </si>
  <si>
    <t>La présente loi concerne les accidents aéronautiques, maritimes, et d’oléoducs qui se déroulent sous la juridiction canadienne et les accidents ferroviaires de compétence fédérale. Elle dicte les devoirs et les pouvoirs du Bureau canadien d’enquête sur les accidents de transport et de la sécurité des transports, ainsi que comment les enquêtes publiques doivent se dérouler.</t>
  </si>
  <si>
    <t>Security Management for Critical Upstream Petroleum and Coal Infrastructure Regulation</t>
  </si>
  <si>
    <t>Alta.Reg.218/2012</t>
  </si>
  <si>
    <t>https://legislation.nimonikapp.com/legislations/3810/legislation_texts</t>
  </si>
  <si>
    <t>https://www.canlii.org/en/ab/laws/regu/alta-reg-218-2012/latest/alta-reg-218-2012.html</t>
  </si>
  <si>
    <t>This regulation establishes security measures for critical facilities critical facility.  A critical facility is defined as a mining operation, a pipeline or a processing plant that is named in the critical infrastructure list or a related facility of any of them.  This Act is specefic to Energy Resources Conservation Board regulated facilities under the Energy Resources Conservation Act.</t>
  </si>
  <si>
    <t>Environment Uncategorized , Energy Management, Equipment, Fines, Penalties and Sanctions</t>
  </si>
  <si>
    <t>Financial Penalty, Pipe, Files, Counters, Mats, Hose, Cap, Energy using equipment, Level</t>
  </si>
  <si>
    <t>RSA2000,cE-10</t>
  </si>
  <si>
    <t>Oil Pipeline Uniform Accounting Regulations</t>
  </si>
  <si>
    <t>CRC,c1058</t>
  </si>
  <si>
    <t>https://legislation.nimonikapp.com/legislations/3821/legislation_texts</t>
  </si>
  <si>
    <t>https://canlii.ca/t/7w2l</t>
  </si>
  <si>
    <t>This section contains regulations pertaining to oil pipeline accounting.</t>
  </si>
  <si>
    <t>Regulator, Files, Deck, Manifolds, Tank, Pipe, Scrapers, Pile, Shovels, Lights, Shaft sinking equipment, Timber, Fittings, Valves, Compressors, Boxes, Fire Extinguishers, Conduits, Winches, Strainers, Chairs, Gate, Truck trailers, Aircraft, Crane, Vehicle, Hammers, Transformer, Heat Exchangers, Ballasts, Trucks, Wire, Automobiles, Typewriters, Lamp, Clamps, Gauges, Hose, Lockers, Racks, Heaters, Duplicating machines, Brackets, Air Conditioners, Desks, Telephones, Clocks, Barrier, Radio, Bolt, Tables, Humidifiers, Drill, Reservoirs, Anchors, Sprinklers, Cabinets, Skimmers, Controllers, Substations, Mixers, Adding machines, Fuse, Pipe Fittings, Generators, Pins, Fixtures, Pumps, Motors, Railroad, Cables, Filters, Bin, Bur, Ducts, Pans, Nuts, Dredge, Vises, Signs, Studs, Sinks, Level, Balance, Mats, Dams, Ropes, Energy using equipment, Bit, Financial Penalty, Power shovel, Sanction, Violation, Criminal Charge, Cap, Tags, Pens, Tap, Scaffolds, Mixer, Winch, Crane, Oilers, Switches, Barge, Gauge, Train, Presses, Seats, Derrick, Tanker</t>
  </si>
  <si>
    <t>Règlement de normalisation de la comptabilité des oléoducs</t>
  </si>
  <si>
    <t>CRC,c1058fr</t>
  </si>
  <si>
    <t>https://legislation.nimonikapp.com/legislations/172990/legislation_texts</t>
  </si>
  <si>
    <t>https://canlii.ca/t/cl5x</t>
  </si>
  <si>
    <t>Z246.1-17 eBook - (eBook Version) Security management for petroleum and natural gas industry systems</t>
  </si>
  <si>
    <t>Z246.1-17</t>
  </si>
  <si>
    <t>https://store.csagroup.org/ccrz__ProductDetails?viewState=DetailView&amp;cartID=&amp;sku=Z246.1-17&amp;isCSRFlow=true&amp;portalUser=&amp;store=&amp;cclcl=en_US</t>
  </si>
  <si>
    <t>This Standard specifies criteria for establishing a security management program for petroleum and natural gas industry systems. 
This Standard provides mitigation and response processes and procedures to prevent and minimize the impact of security incidents that could adversely affect people, the environment, assets, and economic stability. 
This Standard applies to pipeline systems, liquefied natural gas production, storage, and handling facilities, storage of hydrocarbons in underground formations, petrochemical installations, other oil and gas exploration, development, production, treatment, processing, and storage operations, oil sands facilities, and petroleum and natural gas wells.</t>
  </si>
  <si>
    <t>Safety Management, Equipment, Energy Management</t>
  </si>
  <si>
    <t>Alarms, Signs, Lights, Mats, Ducts, Video Surveillance, Train, Gate, Energy using equipment, Drill</t>
  </si>
  <si>
    <t>Z246.1-F17 eBook - (eBook Version) Gestion de la sûreté des installations liées à l'industrie du pétrole et du gaz naturel</t>
  </si>
  <si>
    <t>Z246.1-F17</t>
  </si>
  <si>
    <t>https://store.csagroup.org/ccrz__ProductDetails?viewState=DetailView&amp;cartID=&amp;sku=Z246.1-17&amp;isCSRFlow=true&amp;portalUser=&amp;store=&amp;cclcl=fr_CA</t>
  </si>
  <si>
    <t>Cette norme apporte des précisions aux critères d'établissement d'un programme de gestion de la sûreté des installations liées à l'industrie du pétrole et du gaz naturel. Elle énonce des procédures d'intervention afin d'atténuer les risques identifiés et d'empêcher ou minimiser l'impact des incidents liés à la sûreté et qui pourraient affecter les personnes, l'environnement, les actifs et la stabilité économique. 
Cette norme vise les réseaux de canalisations de transport, les installations de production, de stockage et de manutention de gaz naturel liquéfié (GNL), le stockage d'hydrocarbures dans des installations souterraines, les complexes pétrochimiques, les installations d'exploitation des sables bitumineux, et les puits de pétrole et de gaz naturel.</t>
  </si>
  <si>
    <t>CAN/CSA-Z662-15 - Oil and gas pipeline systems</t>
  </si>
  <si>
    <t>Z662-15</t>
  </si>
  <si>
    <t>https://store.csagroup.org/ccrz__ProductDetails?viewState=DetailView&amp;cartID=&amp;sku=CAN/CSA-Z662-15&amp;isCSRFlow=true&amp;portalUser=&amp;store=&amp;cclcl=en_US</t>
  </si>
  <si>
    <t>The objective of this standard is to provide guidance on the safe design, construction and maintenance of pipeline systems used for: Liquid hydrocarbons, including crude oil, multiphase fluids, condensate, liquid petroleum products, Natural gas liquids and liquefied petroleum gas, Oilfield water/steam, Carbon dioxide used in oilfield enhanced recovery schemes, and Gas. A new edition of this standard is available: CSA Z662:19 - Oil and gas pipeline systems (CA-Z662:19).</t>
  </si>
  <si>
    <t>General Facility Design and Operation, Safety Management, Equipment, Energy Management, Fines, Penalties and Sanctions</t>
  </si>
  <si>
    <t>Pipe, Compressors, Pumps, Tank, Bottles, Welders, Clamps, Mill, Anchors, Valves, Tubing, Pipe Joints, Fittings, Cables, Insulation, Regulator, Bin, Presses, Bur, Radio, Ducts, Pans, Indicators, Gate, Pins, Header, Racks, Mops, Signs, Bolt, Shims, Markers, Drill, Lights, Mats, Train, Dams, Ropes, Energy using equipment, Sanction, Violation, Criminal Charge, Gaskets, Cap, Tags, Pens, Screen, Tap, Lamp</t>
  </si>
  <si>
    <t>CAN/CSA-Z662-F15 - Réseaux de canalisations de pétrole et de gaz</t>
  </si>
  <si>
    <t>Z662-F15</t>
  </si>
  <si>
    <t>https://store.csagroup.org/ccrz__ProductDetails?viewState=DetailView&amp;cartID=&amp;sku=CAN/CSA-Z662-15&amp;isCSRFlow=true&amp;portalUser=&amp;store=&amp;cclcl=fr_CA</t>
  </si>
  <si>
    <t>Cette norme traite de la conception, de la construction, de l’exploitation, de l’entretien, de la mise hors service et de l’abandon des réseaux de canalisations des industries gazières et pétrolières qui transportent:  les hydrocarbures liquides, y compris le pétrole brut, les fluides multiphasiques, les condensats, les dérivés liquides du pétrole et du gaz naturel et les gaz de pétrole liquéfiés, les eaux de gisement, la vapeur utilisée pour la mise en valeur de champs pétroliers, le dioxyde de carbone à l’état liquide ou en phase dense et le gaz. Une nouvelle version de cette norme est disponible : CSA Z662:19 - Oil and gas pipeline systems (Anglais seulement) (CA-Z662:F19).</t>
  </si>
  <si>
    <t>https://legislation.nimonikapp.com/legislations/3831/legislation_texts</t>
  </si>
  <si>
    <t>https://canlii.ca/t/8rzt</t>
  </si>
  <si>
    <t>This regulation establishes a framework of fines for those who own or operate a pipeline.  Schedule 1 of the regulation lists violations as they relate to the National Energy Board Act (RSC1985,cN-7) and its' associated regulations.  Schedule 2 of the regulation lists the penalty levels.  The penalty levels increase depending on the severity of the violation.  The maximum penalty (or fine) is set at  C$25,000 for an individual or C$100,000 for corporations.</t>
  </si>
  <si>
    <t>Level, Tables, Compressors, Signs, Vehicle, Tank, Pumps, Alarms, Header, Pipe, Fire suppression, Valves, Regulator, Balance, Cables, Bin, Presses, Bur, Ducts, Pans, Gate, Pins, Hose, Mats, Train, Dams, Energy using equipment, Financial Penalty, Files, Sanction, Violation, Criminal Charge, Cable Ties, Pens</t>
  </si>
  <si>
    <t>Règlement sur les sanctions administratives pécuniaires (Office national de l'énergie)</t>
  </si>
  <si>
    <t>DORS/2013-138</t>
  </si>
  <si>
    <t>https://legislation.nimonikapp.com/legislations/172735/legislation_texts</t>
  </si>
  <si>
    <t>https://canlii.ca/t/dh35</t>
  </si>
  <si>
    <t xml:space="preserve">Ce règlement établit un système d’amendes pour ceux qui opèrent un pipeline ou en sont propriétaires. L’annexe 1 du règlement liste les violations liées à la Loi sur l’Office national de l’énergie (LRC1985,cN-7) et les règlements qui y sont associés. L’annexe 2 du règlement proposé liste le barème des sanctions. Elles augmentent en fonction de la sévérité de la violation. La sanction (ou l’amende) maximale est 25,000$C pour un individu et 100,000$C pour une corporation. 
</t>
  </si>
  <si>
    <t>National Energy Board Cost Recovery Regulations</t>
  </si>
  <si>
    <t>SOR/91-7</t>
  </si>
  <si>
    <t>oil_and_gas, public_administration_and_institutions</t>
  </si>
  <si>
    <t>https://legislation.nimonikapp.com/legislations/3833/legislation_texts</t>
  </si>
  <si>
    <t>https://canlii.ca/t/803l</t>
  </si>
  <si>
    <t>This section contains regulations pertaining to cost recovery for the National Energy Board.</t>
  </si>
  <si>
    <t>Loops, Parallels, Files, Bin, Ducts, Pans, Gate, Vises, Pipe, Hose, Mats, Energy using equipment, Financial Penalty, Tables, Tags, Pens, Presses, Cap</t>
  </si>
  <si>
    <t>Règlement sur le recouvrement des frais de l'Office national de l'énergie</t>
  </si>
  <si>
    <t>DORS/91-7</t>
  </si>
  <si>
    <t>https://legislation.nimonikapp.com/legislations/173032/legislation_texts</t>
  </si>
  <si>
    <t>https://canlii.ca/t/cp6x</t>
  </si>
  <si>
    <t>National Energy Board Substituted Service Regulations</t>
  </si>
  <si>
    <t>SOR/83-191</t>
  </si>
  <si>
    <t>https://legislation.nimonikapp.com/legislations/3834/legislation_texts</t>
  </si>
  <si>
    <t>https://canlii.ca/t/7zjh</t>
  </si>
  <si>
    <t>This section contains National Energy Board substituted service regulations.</t>
  </si>
  <si>
    <t>Environment Management, Security and Public Safety, Equipment</t>
  </si>
  <si>
    <t>Signs, Mats, Pans, Davits</t>
  </si>
  <si>
    <t>Règlement de l'office national de l'énergie sur la signification</t>
  </si>
  <si>
    <t>DORS/83-191</t>
  </si>
  <si>
    <t>https://legislation.nimonikapp.com/legislations/172991/legislation_texts</t>
  </si>
  <si>
    <t>https://canlii.ca/t/cnmt</t>
  </si>
  <si>
    <t>https://legislation.nimonikapp.com/legislations/3850/legislation_texts</t>
  </si>
  <si>
    <t>https://canlii.ca/t/8r5r</t>
  </si>
  <si>
    <t xml:space="preserve">This regulation requires critical facilities, facilities which are listed under the Alberta Counter Terrorism Crisis Management Plan, to meet certain security measures.  If those measures are not implemented then the Alberta Utilities Commission may order the shutdown of the non-compliant facilities.
</t>
  </si>
  <si>
    <t>Counters, Level, Financial Penalty, Pipe, Files, Mats, Hose, Cap, Energy using equipment, Pins</t>
  </si>
  <si>
    <t>SBC1996,c361</t>
  </si>
  <si>
    <t>https://legislation.nimonikapp.com/legislations/3862/legislation_texts</t>
  </si>
  <si>
    <t>https://canlii.ca/t/8498</t>
  </si>
  <si>
    <t>This act contains regulations pertaining to petroleum and natural gas related to rights, issues, fees, rentals, drilling restrictions, work requirements, and terms and renewals.</t>
  </si>
  <si>
    <t>Professional Conduct, Quality Management, Industrial Relations and Human Resources, Privacy and Access to Information, Land Use, Environment Management, Security and Public Safety, Natural Resource Management, Hazardous Materials Management, Equipment, Energy Management, Fines, Penalties and Sanctions</t>
  </si>
  <si>
    <t>Reservoirs, Bearings, Files, Drill, Level, Signs, Chairs, Cables, Bin, Presses, Bur, Ducts, Pans, Gate, Pins, Fuse, Pipe, Studs, Hose, Davits, Mats, Dams, Ropes, Energy using equipment, Bit, Financial Penalty, Magnet, Tender, Sanction, Violation, Criminal Charge, Cap, Tables, Tags, Pens</t>
  </si>
  <si>
    <t>Emergency Management Regulation</t>
  </si>
  <si>
    <t>BC.Reg.204/2013</t>
  </si>
  <si>
    <t>https://legislation.nimonikapp.com/legislations/3863/legislation_texts</t>
  </si>
  <si>
    <t>https://canlii.ca/t/8sj4</t>
  </si>
  <si>
    <t xml:space="preserve">This Regulation sets requirements for permit holders carrying out certain oil and gas activities, as defined under s.24 of the Oil and Gas Act.  Part (Pt.) Pt.II of the Regulation defines the type of information that permit applicants will need to provide to stakeholders affected by oil and gas operations.  Pt.III describes how permit holders are to develop and execute emergency plans, in case of an emergency.   Finally Pt.IV, describes how this Regulation will be implemented, including various transition provisions. </t>
  </si>
  <si>
    <t>Security and Public Safety, Equipment, Energy Management</t>
  </si>
  <si>
    <t>Reservoirs, Bearings, Level, Telephones, Mops, Valves, Pipe, Cables, Compasses, Mats, Ducts, Ropes, Energy using equipment, Pens, Drill</t>
  </si>
  <si>
    <t>Pipeline Regulation</t>
  </si>
  <si>
    <t>B.C.Reg.281/2010</t>
  </si>
  <si>
    <t>https://legislation.nimonikapp.com/legislations/3864/legislation_texts</t>
  </si>
  <si>
    <t>http://canlii.ca/t/8nns</t>
  </si>
  <si>
    <t>This section contains regulations pertaining to pipelines.</t>
  </si>
  <si>
    <t>Compressors, Tank, Pipe, Signs, Cables, Presses, Mats, Pumps, Sanction, Violation, Criminal Charge, Dams, Energy using equipment, Pens, Pins, Bags</t>
  </si>
  <si>
    <t>Pipeline Crossings Regulation</t>
  </si>
  <si>
    <t>BCReg147/2012</t>
  </si>
  <si>
    <t>https://legislation.nimonikapp.com/legislations/3866/legislation_texts</t>
  </si>
  <si>
    <t>https://www.canlii.org/en/bc/laws/regu/bc-reg-147-2012/latest/bc-reg-147-2012.html</t>
  </si>
  <si>
    <t>This regulation relates to pipeline crossings and associated cost allocations in the province of British Columbia.</t>
  </si>
  <si>
    <t>Financial Penalty, Pipe, Bin, Mats, Pans, Energy using equipment, Vises</t>
  </si>
  <si>
    <t>Oil and Gas Road Regulation</t>
  </si>
  <si>
    <t>BC.Reg.56/2013</t>
  </si>
  <si>
    <t>https://legislation.nimonikapp.com/legislations/3867/legislation_texts</t>
  </si>
  <si>
    <t>https://canlii.ca/t/8rtv</t>
  </si>
  <si>
    <t xml:space="preserve">Under this regulation, all roads built, modified and used for oil and gas activities will need to adhere to prescribed standards.  The standards will apply on both private and crown land.   </t>
  </si>
  <si>
    <t>Natural Resource Management, Security and Public Safety, Equipment, Energy Management, Fines, Penalties and Sanctions</t>
  </si>
  <si>
    <t>Cables, Sights, Presses, Ducts, Mill, Abutment, Gate, Pins, Signs, Pipe, Boxes, Hose, Chain, Markers, Mats, Vehicle, Motor vehicle, Dams, Ropes, Energy using equipment, Bit, Barricade, Financial Penalty, Motors, Sanction, Violation, Criminal Charge, Barrier, Ballasts, Tables, Berm, Pens, Radio</t>
  </si>
  <si>
    <t>Greenhouse Gas Reduction (Clean Energy) Regulation</t>
  </si>
  <si>
    <t>BC.Reg.102/2012</t>
  </si>
  <si>
    <t>https://legislation.nimonikapp.com/legislations/3907/legislation_texts</t>
  </si>
  <si>
    <t>https://canlii.ca/t/8r20</t>
  </si>
  <si>
    <t>The goal of this Regulation is to support utility companies when switching from diesel to natural gas.  Eligible vehicles include waste haulers, heavy-duty trucks, transit buses and ferries.  The Regulation provides for financial incentives to purchase of certain natural gas vehicles and to support the natural gas industry.</t>
  </si>
  <si>
    <t>Bin, Presses, Bur, Ducts, Mill, Load out, Energy consumption and conservation, Pins, Signs, Kiln, Pipe, Tank, Hose, Oilers, Dump Trucks, Mats, Vehicle, Train, Energy using equipment, Generators, Trucks, Financial Penalty, Pumps, Tanker, Cap, Tables, Tags, Pens, Vacuums</t>
  </si>
  <si>
    <t>SBC2010,c22</t>
  </si>
  <si>
    <t>Fee, Levy and Security Regulation, 2014</t>
  </si>
  <si>
    <t>BC.Reg.8/2014</t>
  </si>
  <si>
    <t>https://legislation.nimonikapp.com/legislations/3914/legislation_texts</t>
  </si>
  <si>
    <t>https://canlii.ca/t/8sn3</t>
  </si>
  <si>
    <t>This Regulation establishes fees, levy and security requirements. The Regulation applies to producers of petroleum or natural gas, liquified natural gas facilities, and pipeline holders.
Part 2 sets out the fees to apply for or modify a permit to conduct oil and gas activities.
Part 3 sets out the fees for other related activities, including permit transfer and core lab fees.
Part 4 sets out levies. Producers must pay levies per m3 of petroleum or gas produced, pipeline holders must pay levies per km of pipeline.
Part 5 states the type and amount of security that permit applicants or holders must possess.</t>
  </si>
  <si>
    <t>Cables, Ducts, Mill, Gate, Pipe, Boxes, Hose, Mats, Dams, Energy using equipment, Financial Penalty, Sanction, Violation, Criminal Charge, Cap, Tables, Pens, Drill</t>
  </si>
  <si>
    <t>http://www.bcogc.ca/node/5899/download</t>
  </si>
  <si>
    <t>The Environmental Protection and Management Guideline is intended as a reference document for oil and gas applicants and permit holders.The guideline was developed to assist oil and gas companies to understand the requirements of the Environmental Protection and Management Regulation (EPMR). It outlines the minimum legal requirements for environmental protection and management.</t>
  </si>
  <si>
    <t>Environment Management, Water Use and Wastewater Management, Wildlife and Land Conservation</t>
  </si>
  <si>
    <t>https://www.bcogc.ca/node/5767/download</t>
  </si>
  <si>
    <t>This manual guides the user through the requirements of the Emergency Management Regulation (EMR). The manual reflects both the regulatory requirements and processes companies can use to meet their accountabilities under provincial legislation. The appendices include documents to reference when compiling information to meet the requirements of the EMR.</t>
  </si>
  <si>
    <t>Emergency Preparedness and Response, Hazardous Materials Management</t>
  </si>
  <si>
    <t>https://www.bcogc.ca/node/11189/download</t>
  </si>
  <si>
    <t>This document gives incident reporting instructions and guidelines.</t>
  </si>
  <si>
    <t>Security and Public Safety, Environment Management</t>
  </si>
  <si>
    <t>Compliance and Enforcement Manual</t>
  </si>
  <si>
    <t>BC-ComplianceEnforcementManual</t>
  </si>
  <si>
    <t>https://legislation.nimonikapp.com/legislations/3936/legislation_texts</t>
  </si>
  <si>
    <t>https://www.bcogc.ca/node/6096/download</t>
  </si>
  <si>
    <t>This manual is divided into chapters that replicate the order of Commission processes and permit holders’ requirements for addressing operational non-compliances and contraventions. It begins with an overview of inspections, investigations, and the Commission’s compliance and enforcement streams, then details the Commission’s processes for deficiency notice and correction, permit holder self-disclosure, and Opportunities To Be Heard.</t>
  </si>
  <si>
    <t>Regulator, Telephones, Files, Cables, Bin, Ducts, Pans, Gate, Pins, Pipe, Hose, Mats, Energy using equipment, Bit, Financial Penalty, Sanction, Violation, Criminal Charge, Tables, Pens</t>
  </si>
  <si>
    <t>BCCGA Recommended Practice for Damage Prevention Programs</t>
  </si>
  <si>
    <t>BCCGA-DamagePrevention</t>
  </si>
  <si>
    <t>https://www.bcogc.ca/node/6042/download</t>
  </si>
  <si>
    <t>The purpose of this document is to provide minimum standards for the development of damage prevention programs (DPP) for petroleum and natural gas industry permit holders as required in the British Columbia Oil and Gas Commission’s (BCOCG) regulations. The document is intended to form the basis of a program developed and implemented by permit holders that can be audited by the BCOGC. These guidelines are also intended to provide advice and information to assist users in developing effective DPPs. Many facility owners impose stricter requirements on ground disturbance activities near their buried facilities. These guidelines are not necessarily specific to pipeline permit holders however this version identifies and includes requirements specific to pipelines.</t>
  </si>
  <si>
    <t>Emergency Preparedness and Response, Safety Management, Security and Public Safety</t>
  </si>
  <si>
    <t>Petroleum Products Regulation, 2015</t>
  </si>
  <si>
    <t>CQLRcP-30.01,r2</t>
  </si>
  <si>
    <t>https://legislation.nimonikapp.com/legislations/4018/legislation_texts</t>
  </si>
  <si>
    <t>https://canlii.ca/t/8v6z</t>
  </si>
  <si>
    <t>This Regulation establishes quality standards for motor fuels (including renewable motor fuels), aviation fuels and heating fuel oils. The Regulation incorporates a number of standards set by the Canadian General Standards Board. Chapter 3 prescribes sampling and analysis methods to be used to determine compliance. Any contravention of the provisions of this Regulation is a violation subject to a fine, as found in Chapter 4.</t>
  </si>
  <si>
    <t>Motors, Automobiles, Vehicle, Level, Aircraft, Lights, Tank, Tables, Bin, Ducts, Racks, Signs, Hose, Mats, Ropes, Energy using equipment, Bit, Financial Penalty, Pens, Cables, Presses, Bur, Mill, Pins, Horns, Jars, Chests, Dams, Sill, Bells, Sanction, Violation, Criminal Charge, Cap, Tags, Chute</t>
  </si>
  <si>
    <t>Règlement sur les produits pétroliers (2015)</t>
  </si>
  <si>
    <t>RLRQcP-30.01,r2</t>
  </si>
  <si>
    <t>https://legislation.nimonikapp.com/legislations/172795/legislation_texts</t>
  </si>
  <si>
    <t>https://canlii.ca/t/dkb9</t>
  </si>
  <si>
    <t>Ce règlement établit des normes de qualité pour les carburants automobiles (y compris les carburants renouvelables), les carburants d'aviation et le mazout. Le règlement intègre plusieurs normes employées par l'Office des normes générales du Canada. Le chapitre 3 prescrit les méthodes de prélèvement et d'analyse afin d'établir la conformité des substances aux normes. Toute contravention au règlement est passible d'une amende, comme prévu au chapitre 4.</t>
  </si>
  <si>
    <t>An Act Respecting Transparency Measures in the Mining, Oil and Gas Industries</t>
  </si>
  <si>
    <t>CQLRcM-11.5</t>
  </si>
  <si>
    <t>https://legislation.nimonikapp.com/legislations/4020/legislation_texts</t>
  </si>
  <si>
    <t>https://canlii.ca/t/8vmk</t>
  </si>
  <si>
    <t>The Act creates reporting requirements for the extractive sector, specifically, mining, oil and gas companies must declare payments made to regulatory bodies. The stated purpose of the Act is to detect and deter corruption, and to foster the social acceptability of natural resources exploration and development projects.
The Act applies to an entity engaged in the exploration or development of oil, gas or minerals in Quebec or elsewhere, if this entity meets certain conditions.
Implicated entities are required to submit a report disclosing substantial payments made to specified regulatory bodies. The types of payments to be disclosed include taxes, royalties, fees, bonuses, dividends and infrastructure improvement payments. The statement of payments made, submitted to the Autorité des marchés financiers, will be made public.
The Act provides that a statement filed in accordance with the requirements of a competent authority other than Quebec could be substituted for the statement required under Quebec law.
Failure to comply with the Act may lead to administrative penalties.</t>
  </si>
  <si>
    <t>Natural Resource Management, Equipment, Fines, Penalties and Sanctions</t>
  </si>
  <si>
    <t>Financial Penalty, Mats, Sanction, Violation, Criminal Charge, Hose, Pans, Pens, Vises, Pins</t>
  </si>
  <si>
    <t>Loi sur les mesures de transparence dans les industries minière, pétrolière et gazière</t>
  </si>
  <si>
    <t>RLRQcM-11.5</t>
  </si>
  <si>
    <t>https://legislation.nimonikapp.com/legislations/172822/legislation_texts</t>
  </si>
  <si>
    <t>https://canlii.ca/t/dkqw</t>
  </si>
  <si>
    <t>La Loi crée de nouvelles exigences pour les rapports pour le domaine de l'extraction, en particulier, les compagnies infères, pétrolières et gazières doivent déclarer les paiements faits à des entités gouvernementales. La Loi vise à décourager et détecter la corruption ainsi que favoriser l'acceptabilité sociale de projets de développement et d'exploration. 
La Loi s'applique à toute entité qui exerce des activités liées à l'exploration ou à l'extraction de pétrole, de gaz et de minéraux au Québec ou ailleurs si cette entité respecte certaines conditions.
Les parties impliquées doivent produire une déclaration annuelle divulguant les paiements importants faits auprès de certains organismes de réglementation. Les types de paiement devant être divulgués incluent les taxes, redevances, frais, primes, dividendes et contributions pour l'amélioration d'infrastructures. Les déclarations de paiements devront être soumises à l'autorité des marchés financiers et seront rendues publiques. 
La Loi prévoit qu'une déclaration produite en vertu des exigences d'une autorité compétente autre que le Québec peut être substituée à une déclaration exigée en vertu de la loi québécoise.
Un manquement à une disposition de la Loi peut mener à des sanctions administratives.</t>
  </si>
  <si>
    <t>general, oil_and_gas, road_transportation, construction, printing_and_pulp_and_paper</t>
  </si>
  <si>
    <t>https://canlii.ca/t/8sdp</t>
  </si>
  <si>
    <t xml:space="preserve">This Act provides for compensation to workers for injuries sustained in the course of their employment.   Of interest to employers, Part IV prescribes wage and benefit rates for those injured at work.   In addition, Part IV outlines the duties of an employer when a worker is injured in the workplace.  Finally, Part VII establishes the penalty and fines regime. 
</t>
  </si>
  <si>
    <t>Industrial Relations and Human Resources</t>
  </si>
  <si>
    <t>The Workers' Compensation Miscellaneous Regulations</t>
  </si>
  <si>
    <t>RRScW-17.11.Reg1</t>
  </si>
  <si>
    <t>https://legislation.nimonikapp.com/legislations/4072/legislation_texts</t>
  </si>
  <si>
    <t>http://www.qp.gov.sk.ca/documents/English/Regulations/Regulations/W17-11R1.pdf</t>
  </si>
  <si>
    <t>These Regulations list the industries and occupations that are excluded from the provisions of the Workers' Compensation Act, 2013 (SS2013,cW-17.11) (“the Act”). 
Notable aspects of the Regulations may be summarized as follows:
* Part (pt.) pt.3 lists those industries and occupations to which the Act does not apply.
* pt.4 defines the terms by which those who participate in the forestry industry would be exempted from the requirements of the Act.</t>
  </si>
  <si>
    <t>Industrial Relations and Human Resources, Equipment, Fines, Penalties and Sanctions</t>
  </si>
  <si>
    <t>Brushes, Saws, Files, Mats, Ducts, Sanction, Violation, Criminal Charge, Doors, Hose, Train, Tables, Mill, Bit, Timber, Pens, Trucks, Pins</t>
  </si>
  <si>
    <t>Haisla Nation Liquefied Natural Gas Facility Regulations</t>
  </si>
  <si>
    <t>SOR/2012-293</t>
  </si>
  <si>
    <t>https://canlii.ca/t/8r9b</t>
  </si>
  <si>
    <t xml:space="preserve">The intent of this regulation is to incorporate, with some minor modifications, the regulations applicable to liquefied natural gas facilities as found in the province of British Columbia.  The incorporated regulations apply to aspects, such as: emergency response, facility operations, storage of materials, operation of equipment and environmental management.  Federal health, safety and environmental legislation would continue to apply as they would normally do so for lands under federal jurisdiction.
</t>
  </si>
  <si>
    <t>General Facility Design and Operation, Natural Resource Management</t>
  </si>
  <si>
    <t>SC2005,c53</t>
  </si>
  <si>
    <t>Règlement sur les installations de gaz naturel liquéfié de la Nation Haisla</t>
  </si>
  <si>
    <t>DORS/2012-293</t>
  </si>
  <si>
    <t>https://canlii.ca/t/dgdn</t>
  </si>
  <si>
    <t>Le but de ce Règlement est d'incorporer, avec certaines altérations mineures, la règlementation s'appliquant aux installations de gaz naturel liquéfié en Colombie-Britannique. La réglementation incorporée porte sur les éléments suivants : les interventions d'urgence, l'entrepôt de matériaux, le fonctionnement de l'équipement et la gestion environnementale. Le cadre législatif en matière de santé, de sécurité et d'environnement continuerait à s'appliquer normalement pour les terres de compétence fédérale.</t>
  </si>
  <si>
    <t>https://legislation.nimonikapp.com/legislations/4130/legislation_texts</t>
  </si>
  <si>
    <t>https://canlii.ca/t/7vjv</t>
  </si>
  <si>
    <t>The Canada Oil and Gas Operations Act administer oil and gas exploration, production, processing and transportation in marine areas controlled by the federal government only. The purpose of the Act is to promote safety, protection of the environment, the conservation of oil and gas resources, and joint production agreements.</t>
  </si>
  <si>
    <t>Environment Management, Natural Resource Management, Hazardous Materials Management, Equipment, Energy Management, Fines, Penalties and Sanctions</t>
  </si>
  <si>
    <t>Reservoirs, Pipe, Pumps, Tank, Compressors, Racks, Fixtures, Regulator, Aircraft, Vehicle, Files, Level, Scales, Cables, Bin, Presses, Bur, Ducts, Pans, Nuts, Mill, Scale, Gate, Vises, Pins, Signs, Fuse, Studs, Hose, Chairs, Balance, Mats, Train, Dams, Ropes, Energy using equipment, Bit, Financial Penalty, Sanction, Violation, Criminal Charge, Cap, Tables, Tags, Pens, Drill</t>
  </si>
  <si>
    <t>Loi sur les opérations pétrolières au Canada</t>
  </si>
  <si>
    <t>LRC1985,cO-7</t>
  </si>
  <si>
    <t>https://legislation.nimonikapp.com/legislations/172742/legislation_texts</t>
  </si>
  <si>
    <t>https://canlii.ca/t/ckn6</t>
  </si>
  <si>
    <t xml:space="preserve">La loi sur les opérations pétrolières au Canada régit l'exploration pétrolière et de gaz, sa production, sa transformation et son transport dans les zones maritimes contrôlées  seulement par le gouvernement fédéral. Le but de cette loi est de promouvoir la sécurité, la protection de l'environnement, la conservation des ressources de pétrole et de gaz, et les ententes de coproduction.
</t>
  </si>
  <si>
    <t>Canada Oil and Gas Operations Regulations</t>
  </si>
  <si>
    <t>SOR/83-149</t>
  </si>
  <si>
    <t>https://legislation.nimonikapp.com/legislations/4131/legislation_texts</t>
  </si>
  <si>
    <t>https://canlii.ca/t/7zjc</t>
  </si>
  <si>
    <t>Canada Oil and Gas Operations Regulations administer oil and gas operations on Canada lands. It applies to businesses involved in oils and land gas operations in the areas where the Act applies. It sets out the procedures and requirements for an operating license.</t>
  </si>
  <si>
    <t>Signs, Presses, Ducts, Studs, Pans</t>
  </si>
  <si>
    <t>Règlement sur les opérations sur le pétrole et le gaz du Canada</t>
  </si>
  <si>
    <t>DORS/83-149</t>
  </si>
  <si>
    <t>https://legislation.nimonikapp.com/legislations/172743/legislation_texts</t>
  </si>
  <si>
    <t>https://canlii.ca/t/cnmp</t>
  </si>
  <si>
    <t>Le Règlement sur les opérations sur le pétrole et le Gaz du Canada veille aux opérations relatives au pétrole et au gaz des terres du Canada. ll s'applique aux entreprises qui effectuent des opérations relatives au pétrole et au gaz des terres dans la zone d'application de la loi. Il énonce les procédures et les exigences concernant la demande d'une licence d'opérations.</t>
  </si>
  <si>
    <t>Canada Petroleum Resources Act</t>
  </si>
  <si>
    <t>RSC1985,c36</t>
  </si>
  <si>
    <t>https://legislation.nimonikapp.com/legislations/4132/legislation_texts</t>
  </si>
  <si>
    <t>https://canlii.ca/t/7vc4</t>
  </si>
  <si>
    <t xml:space="preserve">This Act governs the lease of federally owned oil and gas rights on "frontier lands" to oil and gas companies that wish to find and produce the oil and gas. Rights leased to a company under the Act give the company the right to explore, and if successful, produce oil and gas owned by the federal government. 
</t>
  </si>
  <si>
    <t>Drill, Files, Aircraft, Vehicle, Regulator, Cables, Bin, Presses, Bur, Ducts, Pans, Mill, Gate, Vises, Pins, Ovens, Signs, Fuse, Pipe, Studs, Hose, Chairs, Balance, Mats, Dams, Ropes, Energy using equipment, Bit, Financial Penalty, Counters, Sanction, Violation, Criminal Charge, Cap, Tables, Pens</t>
  </si>
  <si>
    <t>Loi fédérale sur les hydrocarbures</t>
  </si>
  <si>
    <t>LRC1985,c36</t>
  </si>
  <si>
    <t>https://legislation.nimonikapp.com/legislations/172744/legislation_texts</t>
  </si>
  <si>
    <t>https://canlii.ca/t/ckgg</t>
  </si>
  <si>
    <t xml:space="preserve">Cette Loi régit l’attribution de droits pétroliers et gaziers dans les «terres domaniales» de l’État à des sociétés pétrolières et gazières qui veulent trouver et mettre en valeur le pétrole et le gaz naturel.  Lorsque les droits sont attribués à une société, cette dernière a le droit d'explorer et de produire du pétrole et du gaz, appartenant au gouvernement fédéral. 
</t>
  </si>
  <si>
    <t>Indian Oil and Gas Act</t>
  </si>
  <si>
    <t>RSC1985,cI-7</t>
  </si>
  <si>
    <t>https://legislation.nimonikapp.com/legislations/4138/legislation_texts</t>
  </si>
  <si>
    <t>https://canlii.ca/t/7vhm</t>
  </si>
  <si>
    <t>The purpose of this Act is to manage and administer oil and gas resources found on reserve lands. It sets the term and conditions for royalty collection.</t>
  </si>
  <si>
    <t>Reservoirs, Signs, Tables, Cables, Bin, Presses, Ducts, Pans, Gate, Vises, Pins, Fuse, Hose, Balance, Mats, Dams, Ropes, Energy using equipment, Bit, Handles, Financial Penalty, Files, Sanction, Violation, Criminal Charge, Cap, Pens, Drill</t>
  </si>
  <si>
    <t>Loi sur le pétrole et le gaz des terres indiennes</t>
  </si>
  <si>
    <t>LRC1985,cI-7</t>
  </si>
  <si>
    <t>https://legislation.nimonikapp.com/legislations/172911/legislation_texts</t>
  </si>
  <si>
    <t>https://canlii.ca/t/cklz</t>
  </si>
  <si>
    <t>Cette loi a pour but la gestion et l'administration des ressources pétrolières et gazières se trouvant dans les réserves indiennes. Elle énonce les modalités et conditions liées à la collection de redevances.</t>
  </si>
  <si>
    <t>Northern Pipeline Act</t>
  </si>
  <si>
    <t>RSC1985,cN-26</t>
  </si>
  <si>
    <t>https://legislation.nimonikapp.com/legislations/4139/legislation_texts</t>
  </si>
  <si>
    <t>https://canlii.ca/t/7vjg</t>
  </si>
  <si>
    <t xml:space="preserve">This Act applies to those parties named in the 1977 Agreement between Canada and the United States. The agreement authorizes a pipeline, with certain specifications, to run between Whitehorse, Yukon and Alberta.  The pipeline is presently owned by Foothills Pipelines (TransCanada).  The objective of the Act is to facilitate the planning and construction of the pipeline.  It also sets requirements for the environment, health and safety. </t>
  </si>
  <si>
    <t>Reservoirs, Telephones, Pipe, Pumps, Tank, Radio, Compressors, Racks, Regulator, Files, Squares, Parallels, Mill, Level, Gauges, Tables, Railroad, Cables, Bin, Presses, Bur, Ducts, Pans, Gate, Vises, Pins, Signs, Fuse, Studs, Hose, Mats, Train, Ropes, Energy using equipment, Bit, Financial Penalty, Sanction, Violation, Criminal Charge, Power regulator, Cap, Tags, Pens, Gauge, Dams</t>
  </si>
  <si>
    <t>Loi sur le pipe-line du Nord</t>
  </si>
  <si>
    <t>LRC1985,cN-26</t>
  </si>
  <si>
    <t>https://legislation.nimonikapp.com/legislations/172912/legislation_texts</t>
  </si>
  <si>
    <t>https://canlii.ca/t/ckms</t>
  </si>
  <si>
    <t>Cette loi s'applique aux parties à l'accord entre le Canada et les États-Unis d'Amérique sur les principes applicables à un pipe-line pour le transport du gaz naturel du nord. L'accord permet la construction d'un pipe-line, sous certaines conditions, connectant Whitehorse, Yukon à l'Alberta. Le pipe-line est présentement détenu par Foothills Pipelines (TransCanada). La loi a pour but de faciliter la planification et la construction du pipeline. Elle énonce également des exigences en matière d'environnement, de santé et de sécurité.</t>
  </si>
  <si>
    <t>Gas Pipeline Uniform Accounting Regulations</t>
  </si>
  <si>
    <t>SOR/83-190</t>
  </si>
  <si>
    <t>https://legislation.nimonikapp.com/legislations/4155/legislation_texts</t>
  </si>
  <si>
    <t>https://canlii.ca/t/7zjg</t>
  </si>
  <si>
    <t>This legislation dictates the accounting habits to be kept by companies authorised to construct and/or operate gas pipelines.</t>
  </si>
  <si>
    <t>Cables, Regulator, Condenser, Presses, Bur, Ducts, Pans, Nuts, Dredge, Gate, Vises, Pins, Signs, Pipe, Scrapers, Tank, Studs, Pile, Hose, Sinks, Level, Valves, Balance, Lights, Mats, Fixtures, Dams, Ropes, Energy using equipment, Timber, Compressors, Bit, Deck, Financial Penalty, Gauges, Fittings, Files, Pumps, Power shovel, Sanction, Violation, Criminal Charge, Shovels, Cap, Tables, Tags, Pens, Tap, Gauge</t>
  </si>
  <si>
    <t>Règlement de normalisation de la comptabilité des gazoducs</t>
  </si>
  <si>
    <t>DORS/83-190</t>
  </si>
  <si>
    <t>https://legislation.nimonikapp.com/legislations/173106/legislation_texts</t>
  </si>
  <si>
    <t>https://www.canlii.org/fr/ca/legis/regl/dors-83-190/derniere/dors-83-190.html</t>
  </si>
  <si>
    <t>Le présent règlement établit les pratiques comptables obligatoires aux  sociétés autorisées à construire ou à exploiter un gazoduc.</t>
  </si>
  <si>
    <t>oil_and_gas, mining_and_minerals_industry, rail_transportation</t>
  </si>
  <si>
    <t>https://legislation.nimonikapp.com/legislations/4157/legislation_texts</t>
  </si>
  <si>
    <t>https://canlii.ca/t/8tcd</t>
  </si>
  <si>
    <t>This Regulation creates a framework for the administration of monetary penalties by the Ministry of Transport for violations of provisions set forth in the Railway Safety Act and its related regulations.</t>
  </si>
  <si>
    <t>Security and Public Safety, Equipment, Fines, Penalties and Sanctions</t>
  </si>
  <si>
    <t>Signs, Financial Penalty, Sanction, Violation, Criminal Charge, Pens</t>
  </si>
  <si>
    <t>RSC1985,c32(4thSupp)</t>
  </si>
  <si>
    <t>Règlement sur les sanctions administratives pécuniaires relatives à la sécurité ferroviaire</t>
  </si>
  <si>
    <t>DORS/2014-233</t>
  </si>
  <si>
    <t>https://legislation.nimonikapp.com/legislations/172762/legislation_texts</t>
  </si>
  <si>
    <t>https://canlii.ca/t/djgq</t>
  </si>
  <si>
    <t>Ce règlement établi un cadre pour l'administration, par le Ministère des Transports, des sanctions pécuniaires pour des contraventions des textes désignés dans la Loi et ses règlements.</t>
  </si>
  <si>
    <t>National Energy Board Act Part VI (Oil and Gas) Regulations</t>
  </si>
  <si>
    <t>SOR/96-244</t>
  </si>
  <si>
    <t>https://legislation.nimonikapp.com/legislations/4160/legislation_texts</t>
  </si>
  <si>
    <t>https://canlii.ca/t/80jx</t>
  </si>
  <si>
    <t>The Regulations outlines the licensing process for oil and gas exportation and importation at a federal level.</t>
  </si>
  <si>
    <t>Lights, Furnaces, Tables, Level, Files, Motor vehicle, Motors, Vehicle, Tank, Aircraft, Locomotive, Mirrors, Cables, Regulator, Presses, Ducts, Pans, Gate, Signs, Internal combustion engine, Fuse, Pipe, Hose, Balance, Mats, Train, Energy using equipment, Bit, Financial Penalty, Sanction, Violation, Criminal Charge, Cap, Pens, Drill</t>
  </si>
  <si>
    <t>Règlement de l’Office national de l’énergie concernant le gaz et le pétrole (partie VI de la Loi)</t>
  </si>
  <si>
    <t>DORS/96-244</t>
  </si>
  <si>
    <t>https://legislation.nimonikapp.com/legislations/173102/legislation_texts</t>
  </si>
  <si>
    <t>https://www.canlii.org/fr/ca/legis/regl/dors-96-244/derniere/dors-96-244.html</t>
  </si>
  <si>
    <t>Le présent règlement décrit le processus pour obtenir les licences nécessaires à  l’exportation et l’importation du pétrole et du gaz au niveau fédéral.</t>
  </si>
  <si>
    <t>Extractive Sector Transparency Measures Act</t>
  </si>
  <si>
    <t>SC2014,c39,s376</t>
  </si>
  <si>
    <t>oil_and_gas, forestry, mining_and_minerals_industry</t>
  </si>
  <si>
    <t>https://canlii.ca/t/8tm5</t>
  </si>
  <si>
    <t>This Act requires those in the extractive sector to report payments made to governing bodies. Entities engaged in the commercial development of oil, gas or minerals must report payments of $100,000 or more made to prescribed payees, including foreign governments and First Nations. The report submitted to the designated Minister must be made public. Failure to comply with the Act will lead to a maximum fine of $250,000 per day the offense is committed.</t>
  </si>
  <si>
    <t>Natural Resource Management</t>
  </si>
  <si>
    <t>Loi sur les mesures de transparence dans le secteur extractif</t>
  </si>
  <si>
    <t>LC2014,c39,art376</t>
  </si>
  <si>
    <t>https://canlii.ca/t/djqh</t>
  </si>
  <si>
    <t>Cette Loi exige ceux qui travaillent dans le secteur extractif de faire rapport de paiements fait à des entités gouvernementales. Les entités impliquées dans le développement commercial du gaz, du pétrole ou de minéraux doivent faire rapport de paiements de 100,000$ ou plus faits à des personnes précises, dont des gouvernements étrangers et des premières nations. Le rapport soumis au ministre désigné doit être rendu public. Un défait de se conformer à l’acte entraine une peine maximale de 250,000$ par jour lors duquel l’infraction est commise.</t>
  </si>
  <si>
    <t>https://legislation.nimonikapp.com/legislations/4183/legislation_texts</t>
  </si>
  <si>
    <t>https://canlii.ca/t/7zsc</t>
  </si>
  <si>
    <t>This Regulation prescribes the health and safety standards for employees working in connection with exploration, drilling, production, conservation, processing or transportation of oil and gas on Canadian lands, as defined in the Canada Petroleum Resources Act.
Key elements of these regulations are measures to prevent accidents that occur in the oil and gas sector, including but not limited to:
building safety standards
sanitation
procedures concerning hazardous substances
safety materials, equipment, devices, and clothing
machinery and tools
material handling
hazardous occurrence investigation, recording and reporting</t>
  </si>
  <si>
    <t>Hopper, Enclosures, Bin, Screen, Ladders, Walkway, Ramp, Cables, Chain, Pipe, Scaffolds, Fittings, Tags, Switches, Doors, Toilets, Dispensers, Towels, Bags, Showers, Urinals, Receptacles, Pipe Fittings, Pumps, Compressors, Valves, Labels, Handles, Detonator, Brushes, Vacuums, Filters, Alarms, Anchors, Fire Extinguishers, Drill, Manifolds, Brakes, Hose, Saws, Machine Guards, Wheels, Tank, Deck, Aircraft, Vehicle, Crane, Hooks, Helicopters, Motor vehicle, Motors, Telephones, Counters, Lights, Clothing, Cabinets, Jacks, Partitions, Trucks, Railroad, Level, Signs, Barricade, Cage, Footwear, Ropes, Wire, Bulkhead, Conduits, Timber, Dumbwaiters, Radio, Generators, Ballasts, Bench, Gauges, Studs, Extension Cords, Fuse, Lockers, Ladle, Tap, Drinking Fountains, Fixtures, Tables, Ducts, Gloves, Furnaces, Barrier, Insulation, Air Filters, Gearshift, Boxes, Drum, Bottles, Respirators, Belts, Lanyards, Ground Fault Circuit Interrupters, Grinders, Punches, Presses, Glass, Warning Lights, Hoist, Horns, Seats, Mirrors, Screws, Bolt, Conveyor, Slings, Tool Boxes, Boom, Files, Scissors, Pins, Squares, Flashlights, Collar, Nails, Scales, Mops, Ovens, Kiln, Woodworking machines, Crane, Energy using equipment, Bit, Bells, Carts, Cap, Pens, Hoist, Gate, Oilers, Thermometer, Barge, Sanction, Violation, Criminal Charge, Gauge, Catches, Machine guard, Nuts, Scale, Floats, Mats, Train, Financial Penalty, Magnet, Sorbents, Bur, Pans, Loading dock, Vises, Racks, Internal combustion engine, Pile, Rivets, Derrick, Dams</t>
  </si>
  <si>
    <t>Règlement sur la sécurité et la santé au travail (pétrole et gaz)</t>
  </si>
  <si>
    <t>DORS/87-612</t>
  </si>
  <si>
    <t>https://canlii.ca/t/cnwp</t>
  </si>
  <si>
    <t>Ce règlement prescrit des normes en matière de sécurité et de santé au travail pour les employés travaillant dans les secteurs de l'exploration, du forage, de la conservation, du traitement ou du transport de pétrole ou de gaz en territoire canadien, comme défini dans la Loi fédérale sur les hydrocarbures.
Au coeur de ce règlement sont des mesures prises afin de prévenir des accidents pouvant se produire dans le secteur pétrolier et gazier, y compris :
des normes de sécurité des bâtiments,
des mesures d'hygiène,
des procédures s'appliquant aux substances dangereuses,
des prescriptions en matière de matériel, d'équipements, de dispositifs et de vêtements de protection,
des mesures concernant les outils et machines,
des règles sur la manutention des matériaux,
un protocole d'enquête et rapports sur les situations comportant des risques</t>
  </si>
  <si>
    <t>Territorial Quarrying Regulations</t>
  </si>
  <si>
    <t>CRC,c1527</t>
  </si>
  <si>
    <t>https://legislation.nimonikapp.com/legislations/4205/legislation_texts</t>
  </si>
  <si>
    <t>https://canlii.ca/t/7w8q</t>
  </si>
  <si>
    <t>These Regulations establish rules for mining in the Northwest Territories, and apply to those wishing to remove limestone, granite, slate, marble, gypsum, loam, marl, gravel, sand, clay, volcanic ash or stone on territorial lands. 
The Regulations describe the physical requirements of the quarry, and outline steps to acquire a quarry lease, terms of the lease, and lease renewal.
Additionally, the Regulations describe fees for rentals associated with lease and permit applications.  Fees are also given for royalties on quarry material.</t>
  </si>
  <si>
    <t>Natural Resource Management, Equipment</t>
  </si>
  <si>
    <t>Signs, Files, Mats, Bearings, Hose, Pans, Squares, Tables, Timber, Pens, Pins</t>
  </si>
  <si>
    <t>RSC1985,cT-7</t>
  </si>
  <si>
    <t>Règlement sur l'exploitation de carrières territoriales</t>
  </si>
  <si>
    <t>CRC,c1527-fr</t>
  </si>
  <si>
    <t>https://legislation.nimonikapp.com/legislations/172930/legislation_texts</t>
  </si>
  <si>
    <t>Ce Règlement encadre certaines activités minières dans les Territoires du Nord-Ouest. Il s'applique à quiconque souhaite extraire du calcaire, du granite, de l'ardoise, du marbre, du gypse, de la glaise, du gravier, du sable, de l'argile, de la cendre volcanique ou de la pierre dans les territoires.
Le Règlement décrit les paramètres que les carrières doivent respecter et établit la marche à suivre afin d'obtenir un bail sur une carrière, les modalités des baux et le renouvellement des baux.
De plus, le Règlement énonce les droits exigibles pour les demandes de bail et de permis. Les montants des redevances dues pour l'extraction de matériaux y sont aussi énoncés.</t>
  </si>
  <si>
    <t>Canada Oil and Gas Operations Administrative Monetary Penalties Regulations</t>
  </si>
  <si>
    <t>SOR/2016-25</t>
  </si>
  <si>
    <t>https://legislation.nimonikapp.com/legislations/4226/legislation_texts</t>
  </si>
  <si>
    <t>https://canlii.ca/t/8z23</t>
  </si>
  <si>
    <t xml:space="preserve">These Regulations determine fines (otherwise known as an “administrative monetary penalty”) for those in the oil and gas industry.  In addition, a framework is created to determine who may be held responsible in the case of an accident at an oil and gas operation.
The Regulations:
*Designate provisions of the Act and its regulations, the contravention of which may lead to an administrative monetary penalty (“AMP”),
*Classify violations by their gravity of risk.
*Determine the methodology by which an AMP will be calculated,
*Set out the conditions under which an AMP may be issued.
</t>
  </si>
  <si>
    <t>Security and Public Safety, Hazardous Materials Management, Equipment, Fines, Penalties and Sanctions</t>
  </si>
  <si>
    <t>Signs, Financial Penalty, Bin, Sanction, Violation, Criminal Charge, Level, Pens, Gate, Pins</t>
  </si>
  <si>
    <t>Règlement sur les sanctions administratives pécuniaires en matière d'opérations pétrolières au Canada</t>
  </si>
  <si>
    <t>DORS/2016-25</t>
  </si>
  <si>
    <t>https://legislation.nimonikapp.com/legislations/172900/legislation_texts</t>
  </si>
  <si>
    <t>https://canlii.ca/t/dn5f</t>
  </si>
  <si>
    <t xml:space="preserve">Ce règlement instaure un régime d'amendes (autrement connu sous l'appellation de « sanctions administratives pécuniaires »). De plus, un cadre est créé afin de déterminer qui peut être tenu responsable dans le cas d'un accident à une installation pétrolière ou gazière.
Le Règlement :
*Désigne les dispositions de la Loi et de ses Règlements ciblées une sanction administrative pécuniaire (« SAP ») pourrait être imposée en cas de contravention,
*Catégorise les violations selon leur risque,
*Détermine le mode de calcul du montant d'une SAP,
*Établit les conditions qui doivent être remplies pour qu'une SAP soit émise.
</t>
  </si>
  <si>
    <t>Canada Oil and Gas Operations Financial Requirements Regulations</t>
  </si>
  <si>
    <t>SOR/2016-26</t>
  </si>
  <si>
    <t>https://legislation.nimonikapp.com/legislations/4227/legislation_texts</t>
  </si>
  <si>
    <t>https://canlii.ca/t/8z24</t>
  </si>
  <si>
    <t xml:space="preserve">These regulations establish how applicants and operators must meet the financial resource requirements of the Act. Applicants and operators must have the financial resources to pay liability claims in the event of an accident or spill.
The Regulations:
*Describe how financial resources may be proven.
*Establish procedures for the Board for instances when an oil and gas project poses low risk and the Board chooses to lower to the minimum liability requirements.
</t>
  </si>
  <si>
    <t>Financial Administration, Accounting, Charges, Equipment, Fines, Penalties and Sanctions</t>
  </si>
  <si>
    <t>Signs, Financial Penalty, Cables, Bur, Mats, Sanction, Violation, Criminal Charge, Hose, Pans, Cap, Dams, Tables, Mill, Pens</t>
  </si>
  <si>
    <t>Règlement sur les exigences financières en matière d'opérations pétrolières au Canada</t>
  </si>
  <si>
    <t>DORS/2016-26</t>
  </si>
  <si>
    <t>https://legislation.nimonikapp.com/legislations/172901/legislation_texts</t>
  </si>
  <si>
    <t>https://canlii.ca/t/dn5g</t>
  </si>
  <si>
    <t xml:space="preserve">Ce Règlement détermine les façons que les exploitants et demandeurs peuvent employer pour s'acquitter de leurs obligations en matière de ressources financières prévues par la Loi. Les exploitants et demandeurs doivent disposer de suffisamment de ressources financières afin de pouvoir payer une réclamation suite à un accident ou un déversement.
En outre, le Règlement :
*Décrit les façons de prouver ses ressources financières
*Énonce des mesures permettant à l'office de réduire le niveau minimal de responsabilité associé à un projet pétrolier.
</t>
  </si>
  <si>
    <t>Steering Appliances and Equipment Regulations</t>
  </si>
  <si>
    <t>SOR/83-810</t>
  </si>
  <si>
    <t>oil_and_gas, mining_and_minerals_industry, water_transportation</t>
  </si>
  <si>
    <t>https://legislation.nimonikapp.com/legislations/4231/legislation_texts</t>
  </si>
  <si>
    <t>https://canlii.ca/t/7zkj</t>
  </si>
  <si>
    <t xml:space="preserve">These regulations apply to owners and operators of ships in Canadian waters and in the shipping safety controls zone as delineated by the Arctic Waters Pollution Prevention Act (RSC1985,cA-12).
The regulations describe use of ship features for operations and the responsibilities of shipowners.
These regulations establish the parameters for steering and safety mechanical attachments required by tankers, chemical carriers, and gas carriers. </t>
  </si>
  <si>
    <t>Cables, Bin, Wheels, Gate, Pins, Signs, Gears, Tank, Hose, Chairs, Mats, Deck, Financial Penalty, Barge, Tanker, Cap, Tables, Alarms, Pens, Drill, Indicators</t>
  </si>
  <si>
    <t>Règlement sur les apparaux de gouverne</t>
  </si>
  <si>
    <t>DORS/83-810</t>
  </si>
  <si>
    <t>https://legislation.nimonikapp.com/legislations/403149/legislation_texts</t>
  </si>
  <si>
    <t>http://canlii.ca/t/cnnv</t>
  </si>
  <si>
    <t>Ce règlement s'applique aux propriétaires et aux exploitants de navires dans les eaux canadiennes, dans la zone économique exclusive du Canada et dans la zone de contrôle de la sécurité de la navigation telle que délimitée par la Loi sur la prévention de la pollution des eaux arctiques (LRC1985,cA-12).
Il prévoit des exigences relatives aux caractéristiques et systèmes de différents navires et décrit les responsabilités des propriétaires et des capitaines de navires.</t>
  </si>
  <si>
    <t>Regulations Establishing a List of Spill-treating Agents (Canada Oil and Gas Operations Act)</t>
  </si>
  <si>
    <t>SOR/2016-108</t>
  </si>
  <si>
    <t>https://canlii.ca/t/8z9x</t>
  </si>
  <si>
    <t>This Regulation determines the spill-treating agents acceptable for use in the event of an oil spill from an offshore facility.</t>
  </si>
  <si>
    <t>Règlement établissant une liste des agents de traitement (Loi sur les opérations pétrolières au Canada)</t>
  </si>
  <si>
    <t>DORS/2016-108</t>
  </si>
  <si>
    <t>https://canlii.ca/t/dnf8</t>
  </si>
  <si>
    <t>Le Règlement établit quels agents de traitement sont acceptables advenant un déversement de pétrole.</t>
  </si>
  <si>
    <t>Oil Handling Facilities Standards 1995 TP 12402 E</t>
  </si>
  <si>
    <t>StandardsTP12402</t>
  </si>
  <si>
    <t>https://www.tc.gc.ca/eng/marinesafety/tp-tp12402-menu-607.htm</t>
  </si>
  <si>
    <t>The  standards  provide  details  for  operators  of designated oil handling facilities in developing their oil pollution emergency plans to ensure that plans will comply with the requirements for procedures, equipment and resources as set out in the legislation and in the regulations for Response Organizations and Oil Handling Facilities.</t>
  </si>
  <si>
    <t>Security and Public Safety, Environment Management, Equipment</t>
  </si>
  <si>
    <t>Level, Tables</t>
  </si>
  <si>
    <t>https://www.tc.gc.ca/eng/marinesafety/tp-menu-515.htm</t>
  </si>
  <si>
    <t>Normes sur les installations de manutention d’hydrocarbures 1995 TP 12402 F</t>
  </si>
  <si>
    <t>NormesTP12402F</t>
  </si>
  <si>
    <t>https://www.tc.gc.ca/fra/securitemaritime/tp-tp12402-menu-607.htm</t>
  </si>
  <si>
    <t>https://www.tc.gc.ca/fra/securitemaritime/tp-menu-515.htm</t>
  </si>
  <si>
    <t>Canada Energy Regulator Event Reporting Guidelines</t>
  </si>
  <si>
    <t>CA-CER-EventReportingGuidelines</t>
  </si>
  <si>
    <t>https://legislation.nimonikapp.com/legislations/4247/legislation_texts</t>
  </si>
  <si>
    <t>https://www.cer-rec.gc.ca/en/about/acts-regulations/cer-act-regulations-guidance-notes-related-documents/canada-energy-regulator-event-reporting-guidelines/index.html</t>
  </si>
  <si>
    <t>This section contains guidelines that will provide companies with greater clarity regarding the Regulator’s requirements with respect to event reporting under its various regulations.</t>
  </si>
  <si>
    <t>Cables, Catches, Regulator, Sights, Presses, Bur, Alarms, Ducts, Bench, Pans, Gate, Vises, Pins, Mops, Ovens, Signs, Gears, Pipe, Tank, Boxes, Helicopters, Pile, Hose, Reservoirs, Level, Plugs, Valves, Lights, Aircraft, Mats, Vehicle, Train, Dams, Ropes, Energy using equipment, Generators, Bit, Deck, Financial Penalty, Bearings, Sanction, Violation, Criminal Charge, Barrier, Gaskets, Cap, Tables, Tags, Berm, Pens, Drill, Radio</t>
  </si>
  <si>
    <t>https://www.cer-rec.gc.ca/en/about/acts-regulations/cer-act-regulations-guidance-notes-related-documents/canada-energy-regulator-event-reporting-guidelines/draft-event-reporting-guidelines.pdf</t>
  </si>
  <si>
    <t>Lignes directrices de la Régie de l’énergie du Canada sur les rapports d’événement</t>
  </si>
  <si>
    <t>CA-REC-Rapportsd'Événement</t>
  </si>
  <si>
    <t>https://legislation.nimonikapp.com/legislations/173003/legislation_texts</t>
  </si>
  <si>
    <t>https://www.cer-rec.gc.ca/fr/regie/lois-reglements/loi-regie-canadienne-lenergie-reglements-notes-dorientation-documents-connexes/regie-energie-canada-lignes-directrices-rapports-evenement/index.html</t>
  </si>
  <si>
    <t>https://www.cer-rec.gc.ca/fr/regie/lois-reglements/loi-regie-canadienne-lenergie-reglements-notes-dorientation-documents-connexes/regie-energie-canada-lignes-directrices-rapports-evenement/2020drftvntrprtnggdlns-fra.pdf</t>
  </si>
  <si>
    <t>CEPA Initiative: Response Time Guideline</t>
  </si>
  <si>
    <t>CEPA-ResponseTimeGuideline</t>
  </si>
  <si>
    <t>https://legislation.nimonikapp.com/legislations/4249/legislation_texts</t>
  </si>
  <si>
    <t>https://www.aboutpipelines.com/wp-content/uploads/2016/05/Response-Time-Guideline_Final.pdf</t>
  </si>
  <si>
    <t>This document proposes response time guidelines for CEPA members. The Response Time Guideline is intended to help companies identify and position people and equipment before an incident occurs, and to implement supporting procedures.</t>
  </si>
  <si>
    <t>Cables, Bin, Presses, Ducts, Pans, Gate, Signs, Pipe, Helicopters, Lights, Mats, Vehicle, Dams, Energy using equipment, Financial Penalty, Sanction, Violation, Criminal Charge, Cap, Tables, Pens</t>
  </si>
  <si>
    <t>Information Advisory: CSA Z662-11 Oil and Gas Pipeline Systems</t>
  </si>
  <si>
    <t>NEB-IA2011-001</t>
  </si>
  <si>
    <t>https://legislation.nimonikapp.com/legislations/4263/legislation_texts</t>
  </si>
  <si>
    <t>https://neb-one.gc.ca/en/safety-environment/industry-performance/information-safety-advisories/information-advisory/2019/national-energy-board-information-advisory-neb-ia-2019-002.pdf</t>
  </si>
  <si>
    <t>This document contains an Information Advisory regarding the release of the new CSA Z662-11 Oil and Gas Pipeline Systems standard.</t>
  </si>
  <si>
    <t>Safety Management, General Facility Design and Operation, Equipment, Energy Management</t>
  </si>
  <si>
    <t>Regulator, Mats, Signs, Pipe, Files, Pans, Energy using equipment, Bit</t>
  </si>
  <si>
    <t>https://www.neb-one.gc.ca/sftnvrnmnt/sft/dvsr/nbnfrmtndvsr/index-eng.html?=undefined&amp;wbdisable=true</t>
  </si>
  <si>
    <t>Avis d'information: Norme CSA Z662-11 Réseaux de canalisations de pétrole et de gaz</t>
  </si>
  <si>
    <t>ONÉ-IA2011-001</t>
  </si>
  <si>
    <t>https://www.cer-rec.gc.ca/sftnvrnmnt/sft/dvsr/nbnfrmtndvsr/2011/nb_ia_2011_001-fra.pdf</t>
  </si>
  <si>
    <t>https://www.cer-rec.gc.ca/sftnvrnmnt/sft/dvsr/nbnfrmtndvsr/index-fra.html?=undefined&amp;wbdisable=true</t>
  </si>
  <si>
    <t>Information Advisory: NEB IA 2012-01 Survival &amp; Helicopter Underwater Escape Training</t>
  </si>
  <si>
    <t>NEB-IA2012-01</t>
  </si>
  <si>
    <t>https://legislation.nimonikapp.com/legislations/4264/legislation_texts</t>
  </si>
  <si>
    <t>https://www.cer-rec.gc.ca/en/safety-environment/industry-performance/information-safety-advisories/information-advisory/2012/archive/national-energy-board-information-advisory-neb-ia-2012-01-survival-helicopter-underwater-escape-training.pdf</t>
  </si>
  <si>
    <t>This document contains an Information Advisory regarding Survival &amp; Helicopter Underwater Escape training expectations for offshore geophysical operations.</t>
  </si>
  <si>
    <t>Safety Management, Equipment</t>
  </si>
  <si>
    <t>Files, Counters, Mats, Helicopters, Ducts, Hose, Train, Cap, Bit, Level, Vises, Pins</t>
  </si>
  <si>
    <t>https://www.cer-rec.gc.ca/en/safety-environment/industry-performance/information-safety-advisories/information-advisory/2012/archive/national-energy-board-information-advisory-neb-ia-2012-01-survival-helicopter-underwater-escape-training.html</t>
  </si>
  <si>
    <t>Avis d'information: NEB IA 2012-01 Cours de survie et cours d’évacuation d’hélicoptère submergé</t>
  </si>
  <si>
    <t>ONÉ-IA2012-01</t>
  </si>
  <si>
    <t>https://legislation.nimonikapp.com/legislations/173020/legislation_texts</t>
  </si>
  <si>
    <t>https://www.cer-rec.gc.ca/fr/securite-environnement/rendement-lindustrie/avis-securite-dinformation/avis-dinformation/2012/archive/avis-dinformation-loffice-national-lenergie-neb-ia-2012-01-cours-survie-cours-devacuation-dhelicoptere-submerge.pdf</t>
  </si>
  <si>
    <t>https://www.cer-rec.gc.ca/fr/securite-environnement/rendement-lindustrie/avis-securite-dinformation/avis-dinformation/2012/archive/avis-dinformation-loffice-national-lenergie-neb-ia-2012-01-cours-survie-cours-devacuation-dhelicoptere-submerge.html</t>
  </si>
  <si>
    <t>Information Advisory: CSA Z662-15 - Oil and Gas Pipeline Systems</t>
  </si>
  <si>
    <t>NEB-IA2015-001</t>
  </si>
  <si>
    <t>https://www.cer-rec.gc.ca/sftnvrnmnt/sft/dvsr/nbnfrmtndvsr/2015/nb-ia02015-01-eng.pdf</t>
  </si>
  <si>
    <t>This document contains an Information Advisory regarding the release of the new CSA Z662-15, Oil and Gas Pipeline Systems standard.</t>
  </si>
  <si>
    <t>Safety Management, General Facility Design and Operation</t>
  </si>
  <si>
    <t>https://www.cer-rec.gc.ca/sftnvrnmnt/sft/dvsr/nbnfrmtndvsr/index-eng.html?=undefined&amp;wbdisable=true</t>
  </si>
  <si>
    <t>Avis d'information: Norme CSA Z662-15 - Réseaux de canalisations de pétrole et de gaz</t>
  </si>
  <si>
    <t>ONÉ-IA2015-001</t>
  </si>
  <si>
    <t>https://www.cer-rec.gc.ca/sftnvrnmnt/sft/dvsr/nbnfrmtndvsr/2015/nb-ia02015-01-fra.pdf</t>
  </si>
  <si>
    <t>https://legislation.nimonikapp.com/legislations/4272/legislation_texts</t>
  </si>
  <si>
    <t>https://canlii.ca/t/7vpg</t>
  </si>
  <si>
    <t>An Act to implement an agreement between the Government of Canada and the Government of Newfoundland and Labrador on offshore petroleum resource management and revenue sharing and to make related and consequential amendments.</t>
  </si>
  <si>
    <t>Natural Resource Management, Safety Management, Equipment, Energy Management, Fines, Penalties and Sanctions</t>
  </si>
  <si>
    <t>Reservoirs, Scales, Level, Aircraft, Drill, Pipe, Pumps, Tank, Compressors, Racks, Fixtures, Files, Lockers, Telephones, Toilets, Urinals, Vehicle, Clothing, Labels, Barricade, Cables, Regulator, Bin, Presses, Bur, Ducts, Pans, Nuts, Mill, Scale, Gate, Vises, Pins, Ovens, Signs, Fuse, Studs, Pile, Hose, Chairs, Balance, Lights, Mats, Anchors, Train, Dams, Ropes, Energy using equipment, Bit, Handles, Financial Penalty, Counters, Sanction, Violation, Criminal Charge, Cap, Tables, Tags, Pens, Oilers, Tanker</t>
  </si>
  <si>
    <t>Loi de mise en oeuvre de l'accord atlantique Canada - Terre-Neuve-et-Labrador</t>
  </si>
  <si>
    <t>LC1987,c3</t>
  </si>
  <si>
    <t>https://legislation.nimonikapp.com/legislations/212056/legislation_texts</t>
  </si>
  <si>
    <t>http://canlii.ca/t/ckss</t>
  </si>
  <si>
    <t>Cette loi concerne la mise en oeuvre de l’accord entre les gouvernements du Canada et de Terre-Neuve-et-Labrador sur la gestion des ressources en hydrocarbures extracôtiers et sur le partage des recettes correspondantes.</t>
  </si>
  <si>
    <t>Newfoundland Offshore Area Oil and Gas Operations Regulations</t>
  </si>
  <si>
    <t>SOR/88-347</t>
  </si>
  <si>
    <t>https://legislation.nimonikapp.com/legislations/4273/legislation_texts</t>
  </si>
  <si>
    <t>https://canlii.ca/t/7ztj</t>
  </si>
  <si>
    <t>This section contains regulations respecting oil and gas operations in the Newfoundland offshore area. Parts covered include: Operating Licence, Work Authorization, and Reporting of Spills.</t>
  </si>
  <si>
    <t>Signs, Studs</t>
  </si>
  <si>
    <t>Règlement sur les opérations relatives au pétrole et au gaz de la zone extracôtière de Terre-Neuve</t>
  </si>
  <si>
    <t>DORS/88-347</t>
  </si>
  <si>
    <t>https://legislation.nimonikapp.com/legislations/439530/legislation_texts</t>
  </si>
  <si>
    <t>https://www.canlii.org/fr/ca/legis/regl/dors-88-347/derniere/dors-88-347.html</t>
  </si>
  <si>
    <t>Canada – Newfoundland and Labrador Offshore Marine Installations and Structures Transitional Regulations</t>
  </si>
  <si>
    <t>SOR/2015-4</t>
  </si>
  <si>
    <t>https://legislation.nimonikapp.com/legislations/4274/legislation_texts</t>
  </si>
  <si>
    <t>https://canlii.ca/t/8tmq</t>
  </si>
  <si>
    <t>The Regulations provide guidance in relation to immersion suits and firefighting equipment for offshore marine installations in Newfoundland and Labrador.</t>
  </si>
  <si>
    <t>General Facility Design and Operation, Emergency Preparedness and Response, Equipment, Fines, Penalties and Sanctions</t>
  </si>
  <si>
    <t>Gloves, Clothing, Belts, Respirators, Lamp, Handles, Ropes, Level, Bottles, Helicopters, Deck, Signs, Presses, Bur, Ducts, Nuts, Vises, Mats, Rechargeable battery, Sanction, Violation, Criminal Charge, Cap, Tables</t>
  </si>
  <si>
    <t>Règlement transitoire sur les ouvrages en mer dans la zone extracôtière Canada – Terre-Neuve-et-Labrador</t>
  </si>
  <si>
    <t>DORS/2015-4</t>
  </si>
  <si>
    <t>https://legislation.nimonikapp.com/legislations/173113/legislation_texts</t>
  </si>
  <si>
    <t>https://canlii.ca/t/djr2</t>
  </si>
  <si>
    <t>Le présent règlement donne des directives relatives aux combinaisons d’immersion et de matériel de lutte contre l’incendie pour les ouvrages en mer dans la zone extracôtière de Terre-Neuve-et-Labrador.</t>
  </si>
  <si>
    <t>Canada – Newfoundland and Labrador Offshore Area Diving Operations Safety Transitional Regulations</t>
  </si>
  <si>
    <t>SOR/2015-5</t>
  </si>
  <si>
    <t>https://legislation.nimonikapp.com/legislations/4275/legislation_texts</t>
  </si>
  <si>
    <t>https://canlii.ca/t/8tmr</t>
  </si>
  <si>
    <t>This section contains transitional operations safety regulations that pertain to any diving operation conducted in the Newfoundland offshore area in connection with the exploration or drilling for, or the production, conservation, processing or transportation of, petroleum.</t>
  </si>
  <si>
    <t>Hose, Vehicle, Tables, Cables, Level, Cage, Skip, Bottles, Bells, Crane, Winches, Reservoirs, Lights, Lamp, Tags, Ropes, Brakes, Wire, Gears, Anchors, Indicators, Drum, Handles, Switches, Pumps, Prime mover, Conduits, Doors, Valves, Gauges, Telephones, Fittings, Lifting device, Springs, Fire suppression, Alarms, Signs, Compressors, Tank, Aircraft, Depth Gauges, Sponges, Chests, Bags, Gloves, Boxes, Scalpels, Tissues, Scissors, Thermocouples, Tubes, Hammers, Flashlights, Towels, Knives, Drain Valves, Ladders, Bin, Pins, Ovens, Glass, Winch, Crane, Energy using equipment, Bit, Respirators, Clamps, Cap, Pens, Drill, Hoist, Regulator, Gate, Pipe, Studs, Ramp, Thermometer, Counters, Sanction, Violation, Criminal Charge, Gauge, Nuts, Labels, Balance, Mats, Train, Financial Penalty, Magnet, Files, Tap, Presses, Ducts, Pans, Thermistor, Mill, Vises, Hoist, Pile, Seats, Dams</t>
  </si>
  <si>
    <t>Règlement transitoire sur la sécurité des opérations de plongée dans la zone extracôtière Canada – Terre-Neuve-et-Labrador</t>
  </si>
  <si>
    <t>DORS/2015-5</t>
  </si>
  <si>
    <t>https://legislation.nimonikapp.com/legislations/439531/legislation_texts</t>
  </si>
  <si>
    <t>https://www.canlii.org/fr/ca/legis/regl/dors-2015-5/derniere/dors-2015-5.html</t>
  </si>
  <si>
    <t>Newfoundland Offshore Petroleum Installations Regulations</t>
  </si>
  <si>
    <t>SOR/95-104</t>
  </si>
  <si>
    <t>https://legislation.nimonikapp.com/legislations/4276/legislation_texts</t>
  </si>
  <si>
    <t>https://canlii.ca/t/80f6</t>
  </si>
  <si>
    <t>This section contains regulations that pertain to petroleum installations used in areas offshore Newfoundland under the Canada-Newfoundland Atlantic Accord Implementation Act.</t>
  </si>
  <si>
    <t>Doors, Drill, Tank, Electric Motors, Tables, Generators, Compressors, Jacks, Manifolds, Ballasts, Lockers, Pumps, Motors, Fittings, Helicopters, Deck, Torches, Welders, Heaters, Valves, Level, Pipe, Ducts, Fans, Alarms, Pressure Gauges, Gauges, Fixtures, Cables, Wire, Insulation, Switches, Lights, Radio, Sprinklers, Markers, Filters, Hose, Nozzles, Winches, Clamps, Walkway, Hose Clamps, Crane, Seats, Boom, Prime mover, Conduits, Chute, Ramp, Brackets, Indicators, Floats, Bolt, Mats, Furnaces, Bulkhead, Bearings, Enclosures, Barrier, Fire Extinguishers, Gloves, Clothing, Belts, Respirators, Lamp, Handles, Ropes, Bottles, Telephones, Aircraft, Actuators, Chain, Anchors, Drum, Brakes, Slings, Wheels, Ladders, Bin, Pins, Winch, Crane, Energy using equipment, Bit, Cap, Pens, Gate, Signs, Studs, Oilers, Fire hose, Barge, Counters, Sanction, Violation, Criminal Charge, Tags, Gauge, Nuts, Hinges, Speakers, Flags, Train, Financial Penalty, Screws, Presses, Bur, Pans, Vises, Racks, Internal combustion engine, Electric motor, Pile, Fan, Derrick, Lifeboat, Dams, Rechargeable battery</t>
  </si>
  <si>
    <t>Règlement sur les installations pour hydrocarbures de la zone extracôtière de Terre-Neuve</t>
  </si>
  <si>
    <t>DORS/95-104</t>
  </si>
  <si>
    <t>http://canlii.ca/t/cpjj</t>
  </si>
  <si>
    <t>Ce document contient des règles qui concernent les installations pétrolières utilisées dans les zones au large de Terre-Neuve en vertu de la Loi de mise en oeuvre de l’Accord atlantique Canada — Terre-Neuve-et-Labrador.</t>
  </si>
  <si>
    <t>Newfoundland Offshore Area Petroleum Geophysical Operations Regulations</t>
  </si>
  <si>
    <t>SOR/95-334</t>
  </si>
  <si>
    <t>https://legislation.nimonikapp.com/legislations/4277/legislation_texts</t>
  </si>
  <si>
    <t>https://canlii.ca/t/80gh</t>
  </si>
  <si>
    <t>This section contains health and safety regulations pertaining to geophysical operations in relation to exploration for petroleum in the Newfoundland Offshore Area.</t>
  </si>
  <si>
    <t>Safety Management, Waste Management, Security and Public Safety, Occupational Health, Emergency Preparedness and Response, General Facility Design and Operation, Equipment, Energy Management, Fines, Penalties and Sanctions</t>
  </si>
  <si>
    <t>Cables, Aircraft, Pipe, Valves, Compressors, Manifolds, Fittings, Signs, Hose, Deck, Chain, Tank, Circuit Breakers, Helicopters, Radio, Belts, Gearshift, Drill, Level, Tables, Presses, Bur, Ducts, Pans, Gate, Vises, Pins, Racks, Fuse, Studs, Seats, Energy source, Lights, Mats, Train, Dams, Ropes, Energy using equipment, Handles, Magnet, Financial Penalty, Files, Counters, Sanction, Violation, Criminal Charge, Cap, Ballasts, Pens, Bin, Pile, Bit, Clothing</t>
  </si>
  <si>
    <t>Règlement sur les études géophysiques liées à la recherche des hydrocarbures dans la zone extracôtière de Terre-Neuve</t>
  </si>
  <si>
    <t>DORS/95-334</t>
  </si>
  <si>
    <t>https://legislation.nimonikapp.com/legislations/439532/legislation_texts</t>
  </si>
  <si>
    <t>https://www.canlii.org/fr/ca/legis/regl/dors-95-334/derniere/dors-95-334.html</t>
  </si>
  <si>
    <t>Newfoundland Offshore Petroleum Drilling and Production Regulations</t>
  </si>
  <si>
    <t>SOR/2009-316</t>
  </si>
  <si>
    <t>https://legislation.nimonikapp.com/legislations/4278/legislation_texts</t>
  </si>
  <si>
    <t>https://canlii.ca/t/8mnb</t>
  </si>
  <si>
    <t>This section contains regulations pertaining to Newfoundland Offshore petroleum drilling and production,</t>
  </si>
  <si>
    <t>Environment Management, Hazardous Materials Management, Safety Management, Security and Public Safety, General Facility Design and Operation, Emergency Preparedness and Response, Equipment, Energy Management, Fines, Penalties and Sanctions</t>
  </si>
  <si>
    <t>Reservoirs, Cables, Barrier, Aircraft, Drill, Tubing, Wire, Bit, Plugs, Vehicle, Tank, Level, Gearshift, Helicopters, Indicators, Alarms, Bushings, Tables, Manifolds, Valves, Bearings, Compressors, Scales, Partitions, Regulator, Bin, Presses, Bur, Ducts, Pans, Nuts, Scale, Gate, Pins, Signs, Fuse, Labels, Studs, Pile, Hose, Floats, Balance, Bags, Mats, Train, Ropes, Energy using equipment, Bells, Handles, Financial Penalty, Files, Counters, Cap, Pens</t>
  </si>
  <si>
    <t>Règlement sur le forage et la production relatifs aux hydrocarbures dans la zone extracôtière de Terre-Neuve</t>
  </si>
  <si>
    <t>DORS/2009-316</t>
  </si>
  <si>
    <t>https://legislation.nimonikapp.com/legislations/439533/legislation_texts</t>
  </si>
  <si>
    <t>https://www.canlii.org/fr/ca/legis/regl/dors-2009-316/derniere/dors-2009-316.html</t>
  </si>
  <si>
    <t>Canada – Newfoundland and Labrador Offshore Marine Installations and Structures Occupational Health and Safety Transitional Regulations</t>
  </si>
  <si>
    <t>SOR/2015-1</t>
  </si>
  <si>
    <t>https://legislation.nimonikapp.com/legislations/4279/legislation_texts</t>
  </si>
  <si>
    <t>https://canlii.ca/t/8tmm</t>
  </si>
  <si>
    <t xml:space="preserve">These OHS regulations pertain to employees working within the offshore area for the purposes of the exploration or drilling for — or the production, conservation or processing of — petroleum within the offshore area. </t>
  </si>
  <si>
    <t>Occupational Health, Safety Management, Hazardous Materials Management, Equipment, Energy Management, Fines, Penalties and Sanctions</t>
  </si>
  <si>
    <t>Aircraft, Drill, Jacks, Clothing, Helicopters, Vehicle, Doors, Partitions, Deck, Screen, Enclosures, Hopper, Walkway, Ladders, Bin, Level, Ramp, Barricade, Signs, Cage, Cables, Chain, Footwear, Pipe, Fire Extinguishers, Scaffolds, Ropes, Wire, Conduits, Bulkhead, Timber, Dumbwaiters, Radio, Pipe Fittings, Pumps, Valves, Compressors, Fittings, Tags, Switches, Extension Cords, Fuse, Toilets, Showers, Lockers, Urinals, Towels, Dispensers, Ladle, Tap, Drinking Fountains, Bags, Receptacles, Tables, Ducts, Labels, Handles, Alarms, Detonator, Tank, Pest Control, Gearshift, Ballasts, Anchors, Cap, Manifolds, Barrier, Harnesses, Lanyards, Belts, Brakes, Insulation, Ground Fault Circuit Interrupters, Hose, Saws, Machine Guards, Wheels, Grinders, Bench, Presses, Crane, Glass, Lights, Warning Lights, Hoist, Horns, Seats, Mirrors, Screws, Bolt, Conveyor, Slings, Telephones, Tool Boxes, Boxes, Boom, Hooks, Motors, Motor vehicle, Counters, Scales, Gauges, Generators, Pins, Scissors, Collar, Brushes, Squares, Bottles, Gloves, Nails, Flashlights, Crane, Energy using equipment, Bit, Bells, Respirators, Carts, Pens, Hoist, Gate, Oilers, Thermometer, Barge, Sanction, Violation, Criminal Charge, Gauge, Catches, Machine guard, Nuts, Scale, Transmission equipment, Floats, Punches, Mats, Train, Financial Penalty, Magnet, Sorbents, Files, Bur, Pans, Loading dock, Vises, Racks, Internal combustion engine, Pile, Rivets, Derrick, Dams, Trucks</t>
  </si>
  <si>
    <t>Règlement transitoire sur la santé et la sécurité au travail concernant les ouvrages en mer dans la zone extracôtière Canada – Terre-Neuve-et-Labrador</t>
  </si>
  <si>
    <t>DORS/2015-1</t>
  </si>
  <si>
    <t>https://legislation.nimonikapp.com/legislations/173110/legislation_texts</t>
  </si>
  <si>
    <t>https://canlii.ca/t/djqz</t>
  </si>
  <si>
    <t>Ce règlement concernant la SST se rapport aux employés travaillant dans la zone extracôtière pour les fins de l'exploration, du forage, de la production, de la rationalisation et du traitement du pétrole, dans la zone extracôtière.</t>
  </si>
  <si>
    <t>Identification of Pipe and Fittings with the Potential to Exhibit Substandard Material Properties and Order MO-001-2016</t>
  </si>
  <si>
    <t>MO-001-2016</t>
  </si>
  <si>
    <t>https://www.cer-rec.gc.ca/sftnvrnmnt/sft/dvsr/sftdvsr/2016/2016-02-05gnrlrdr-eng.html</t>
  </si>
  <si>
    <t>This letter is to notify that the National Energy Board (NEB or Board) has issued an order requiring mandatory reporting of the existence of certain fittings that may not meet Canadian Standards Association (CSA) (or other) material property requirements.</t>
  </si>
  <si>
    <t>General Facility Design and Operation</t>
  </si>
  <si>
    <t>https://www.cer-rec.gc.ca/sftnvrnmnt/sft/dvsr/sftdvsr/index-eng.html</t>
  </si>
  <si>
    <t>Repérage de tuyaux et de raccords pouvant contenir des matériaux aux propriétés de qualité inférieure et Ordonnance MO-001-2016</t>
  </si>
  <si>
    <t>MO-001-2016FR</t>
  </si>
  <si>
    <t>https://www.cer-rec.gc.ca/sftnvrnmnt/sft/dvsr/sftdvsr/2016/2016-02-05gnrlrdr-fra.html</t>
  </si>
  <si>
    <t>La présente lettre a pour but d' informer que l’Office national de l’énergie a rendu une ordonnance qui exige le signalement de certains raccords ne respectant pas les exigences en matière de propriétés des matériaux qui sont imposées par l’Association canadienne de normalisation (CSA) (ou d’autres organisations).</t>
  </si>
  <si>
    <t>https://www.cer-rec.gc.ca/sftnvrnmnt/sft/dvsr/sftdvsr/index-fra.html</t>
  </si>
  <si>
    <t>SNB1976,cO-2.1</t>
  </si>
  <si>
    <t>https://legislation.nimonikapp.com/legislations/4322/legislation_texts</t>
  </si>
  <si>
    <t>https://www.canlii.org/en/nb/laws/stat/snb-1976-c-o-2.1/latest/snb-1976-c-o-2.1.html</t>
  </si>
  <si>
    <t>The Oil and Natural Gas Act regulates the tenure, exploration, development, production and abandonment/ reclamation oil and gas resources in the province of New Brunswick.</t>
  </si>
  <si>
    <t>Financial Penalty, Pans, Drill</t>
  </si>
  <si>
    <t>Prohibition Against Hydraulic Fracturing Regulation</t>
  </si>
  <si>
    <t>NB.Reg.2015-28</t>
  </si>
  <si>
    <t>https://canlii.ca/t/8v39</t>
  </si>
  <si>
    <t>This Regulation prohibits the hydraulic fracturing of wells as defined in the Act in the province of New Brunswick. A person who violates or fails to comply with the prohibition commits an offence under the Provincial Offences Procedure Act and could be fined accordingly.</t>
  </si>
  <si>
    <t>Gas Processing Plant Regulation</t>
  </si>
  <si>
    <t>YOIC2013/162</t>
  </si>
  <si>
    <t>https://canlii.ca/t/8s26</t>
  </si>
  <si>
    <t>This regulation sets safety and enviornmental requirements for gas processing and liquefied nautral gas plants.  These requirements are set for the different phases within a gas plant's life, including its' construction, operation and decomission.</t>
  </si>
  <si>
    <t>Natural Resource Management, Environment Management, Safety Management, Security and Public Safety</t>
  </si>
  <si>
    <t>RSY2002,c162</t>
  </si>
  <si>
    <t>Oil and Gas Act</t>
  </si>
  <si>
    <t>https://www.canlii.org/en/yk/laws/stat/rsy-2002-c-162/latest/rsy-2002-c-162.html</t>
  </si>
  <si>
    <t>This Act applies to all oil and gas operations in Yukon</t>
  </si>
  <si>
    <t>Natural Resource Management, Environment Management</t>
  </si>
  <si>
    <t>G-02—Temporary permission for putting gas metering devices into service without sealing</t>
  </si>
  <si>
    <t>G-02-CA</t>
  </si>
  <si>
    <t>https://legislation.nimonikapp.com/legislations/4403/legislation_texts</t>
  </si>
  <si>
    <t>https://www.ic.gc.ca/eic/site/mc-mc.nsf/eng/lm00034.html</t>
  </si>
  <si>
    <t xml:space="preserve">This bulletin contains policy requirements for electronic devices with built-in pressure conversion, temperature conversion and/or supercompressibility correction functions (such as flow computers, electronic volume conversion devices (EVC) and gas flow meters with built-in EVC functions). 
It covers the temporary installation of a gas metering device without sealing, granted under the Electricity and Gas Inspection Act (RSC1985,cE-4). It also gives information on the modifications that can be done to such devices without the need for reverification. </t>
  </si>
  <si>
    <t>Commerce, Standardization, Units of Measurement, Equipment, Energy Management</t>
  </si>
  <si>
    <t>Pipe, Generators, Signs, Cables, Bin, Presses, Mats, Switches, Hose, Cap, Energy using equipment, Bit, Pens</t>
  </si>
  <si>
    <t>G-02—Permission temporaire de mise en service d'un appareil de mesure du gaz sans scellage</t>
  </si>
  <si>
    <t>G-02-CA-FR</t>
  </si>
  <si>
    <t>https://www.ic.gc.ca/eic/site/mc-mc.nsf/fra/lm00034.html</t>
  </si>
  <si>
    <t>Ce bulletin contient les exigences de la politique concernant les appareils avec fonctions de conversion électroniques de la pression, de la température et/ou de correction de la surcompressibilité intégrées (tels que les débitmètres-ordinateurs, les appareils de conversion du volume électroniques (CVE) et les compteurs de gaz dotés de fonctions de CVE intégrées). 
Il vise les installations temporaires d’appareil de mesure du gaz sans scellage, approuvées dans le cadre de la Loi sur l'inspection de l'électricité et du gaz (LRC1985,cE-4). Il procure aussi des informations sur les modifications qui peuvent être apportées à ces appareils sans déclencher une revérification.</t>
  </si>
  <si>
    <t>https://legislation.nimonikapp.com/legislations/4415/legislation_texts</t>
  </si>
  <si>
    <t>https://static.aer.ca/prd/documents/directives/Directive076.pdf</t>
  </si>
  <si>
    <t>This Directive applies to all conventional oil, heavy oil, crude bitumen and natural gas facilities.  It does not apply to mineable oil sands operations.  Under this Directive, operators must declare that they have the necessary infrastructure in place to ensure compliance with the Alberta Energy Regulators' measurement and reporting requirements.</t>
  </si>
  <si>
    <t>Regulator, Level, Cables, Compasses, Ducts, Pans, Gate, Vises, Pins, Signs, Hose, Mats, Train, Bit, Financial Penalty, Tables, Pens</t>
  </si>
  <si>
    <t>Directive 007: Volumetric and Infrastructure Requirements</t>
  </si>
  <si>
    <t>AB.Dir007</t>
  </si>
  <si>
    <t>https://legislation.nimonikapp.com/legislations/4417/legislation_texts</t>
  </si>
  <si>
    <t>https://static.aer.ca/prd/documents/directives/directive007.pdf</t>
  </si>
  <si>
    <t>This directive sets out the Alberta Energy Regulator’s (AER) requirements for reporting volumetric data for wells, pipelines, and facilities and well status changes using Petrinex (Canada’s Petroleum Information Network).</t>
  </si>
  <si>
    <t>Files, Tables, Reservoirs, Compressors, Screen, Flags, Regulator, Bin, Presses, Ducts, Pans, Vises, Racks, Pins, Signs, Pipe, Hose, Drill, Balance, Mats, Train, Energy using equipment, Bit, Financial Penalty, Cap, Tags, Pens</t>
  </si>
  <si>
    <t>https://legislation.nimonikapp.com/legislations/4424/legislation_texts</t>
  </si>
  <si>
    <t>https://static.aer.ca/prd/documents/directives/Directive020.pdf</t>
  </si>
  <si>
    <t>This Directive sets the requirements for abandonments, casting removal, zonal abandonments and plug backs as required under s.3.013 of the Oil and Gas Conservation Rules (Alta.Reg.151/1971). The directive applies to all open-hole and cased-hole abandonments.  Routine abandonments, those abandonments that comply with the requirements found in this Directive do not approval from the Alberta Energy Regulator (AER).  Non-routine abandonments, those that do not meet the requirements of this Directive, do need approval from the AER before work may be started.</t>
  </si>
  <si>
    <t>Environment Management, Equipment, Fines, Penalties and Sanctions, Energy Management</t>
  </si>
  <si>
    <t>Plugs, Pipe, Reservoirs, Drill, Pumps, Mill, Tubing, Gauges, Spacers, Transducers, Collar, Bit, Cap, Pipe Fittings, Pressure Gauges, Hose, Fittings, Pens, Recorders, Valves, Regulator, Level, Tables, Bushings, Bearings, Files, Scales, Bin, Presses, Ducts, Pans, Nails, Vises, Pins, Signs, Boxes, Mats, Financial Penalty, Filters, Tags, Tap, Cables, Wire, Nuts, Wipes, Ropes, Counters, Radio, Gauge, Scale, Energy using equipment</t>
  </si>
  <si>
    <t>https://legislation.nimonikapp.com/legislations/4425/legislation_texts</t>
  </si>
  <si>
    <t>https://static.aer.ca/prd/documents/directives/Directive013.pdf</t>
  </si>
  <si>
    <t>This directive establishes requirements for the suspension of all inactive wells, including critical sour and inactive acid gas wells.  The directive divides inactive wells into three risk- level categories and sets requirements in relation to these categories.  It also prescribes methods for reporting, compliance and repair of wells.  Finally inspection and enforcement measures are documented.</t>
  </si>
  <si>
    <t>Chain, Plugs, Valves, Handles, Tubing, Cap, Reservoirs, Tables, Drill, Level, Telephones, Signs, Regulator, Cables, Bin, Presses, Ducts, Nuts, Mill, Gate, Pipe, Pile, Hose, Lights, Mats, Ropes, Energy using equipment, Bit, Jacks, Financial Penalty, Pumps, Pens, Tap, Pans, Nails, Header, Boxes, Filters, Files, Tags</t>
  </si>
  <si>
    <t>Soil Monitoring Directive (2009)</t>
  </si>
  <si>
    <t>SMD(2009)-AB</t>
  </si>
  <si>
    <t>general, oil_and_gas, mining_and_minerals_industry, agriculture_industry</t>
  </si>
  <si>
    <t>https://legislation.nimonikapp.com/legislations/4427/legislation_texts</t>
  </si>
  <si>
    <t>https://open.alberta.ca/publications/9780778581208</t>
  </si>
  <si>
    <t>This Directive provides information on how to monitor and manage soil contamination in order to meet the requirements of the Environmental Protection and Enhancement Act (RSA2000,cE-12).  Section 1 of the Directive describes methodologies for soil characterization.  Section 2 (s.2) describes how to screen for soil contamination.  Finally, s.3 provides guidance on how to remediate or manage contaminated soil.</t>
  </si>
  <si>
    <t>Tank, Screen, Level, Scales, Tables, Files, Compressors, Vehicle, Transformer, Barrier, Pipe, Filters, Racks, Lights, Sieves, Cables, Regulator, Presses, Ducts, Pans, Loading dock, Scale, Gate, Vises, Pins, Signs, Hose, Drill, Mats, Ropes, Energy using equipment, Financial Penalty, Carts, Cap, Tags, Pens</t>
  </si>
  <si>
    <t>https://legislation.nimonikapp.com/legislations/4462/legislation_texts</t>
  </si>
  <si>
    <t>https://canlii.ca/t/917p</t>
  </si>
  <si>
    <t>This Regulation contains emergency management requirements for applicants and permit holders carrying out oil and gas activities.</t>
  </si>
  <si>
    <t>Reservoirs, Bearings, Level, Telephones, Tables, Scales, Mops, Valves, Cables, Compasses, Presses, Ducts, Pans, Mill, Scale, Signs, Pipe, Hose, Mats, Train, Dams, Ropes, Energy using equipment, Financial Penalty, Sanction, Violation, Criminal Charge, Pens, Drill, Tags, Cap</t>
  </si>
  <si>
    <t>https://legislation.nimonikapp.com/legislations/4466/legislation_texts</t>
  </si>
  <si>
    <t>https://static.aer.ca/prd/documents/directives/Directive055.pdf</t>
  </si>
  <si>
    <t>The purpose of this Directive is to set requirements for storage materials produced, generated or used by those upstream petroleum facilities that are licensed by the Alberta Energy Regulator.  It does not include oil sands mining operations or the underground cavern storage of natural gas.  Specific requirements are set for:
* Primary containment (storage) devices,
* Secondary containment systems,
* Leak detection systems,
* Spill prevention and loss control systems
and
* Weather protection,
Additional requirements are set for the operation, maintenance of such operations as well as inspection, documentation and record retention.</t>
  </si>
  <si>
    <t>Hazardous Materials Management, Waste Management, Environment Management, Equipment, Energy Management, Fines, Penalties and Sanctions</t>
  </si>
  <si>
    <t>Vehicle, Hose, Hose Fittings, Fittings, Motor vehicle, Nozzles, Tank, Motors, Floats, Alarms, Vacuums, Barricade, Indicators, Loops, Microphones, Pumps, Handles, Plugs, Microprocessors, Valves, Level, Aircraft, Generators, Tables, Compressors, Squares, Trucks, Ladders, Bin, Brackets, Heaters, Signs, Drum, Storage Buildings, Barrier, Desiccants, Lights, Ultraviolet Lights, Boxes, Pails, Bags, Reservoirs, Filters, Scales, Pallets, Sieves, Dams, Shaft sinking equipment, Berm, Bearings, Doors, Pipe, Wire, Pile, Anchors, Regulator, Compasses, Pins, Ovens, Bolt, Glass, Energy using equipment, Jacks, Bit, Bells, Cap, Pens, Drill, Cables, Gate, Oilers, Counters, Sanction, Violation, Criminal Charge, Tags, Catches, Scale, Labels, Mats, Train, Ropes, Financial Penalty, Magnet, Files, Screen, Presses, Bur, Ducts, Pans, Loading dock, Vises, Racks, Manifolds, Vacuum pump, Saws, Telephones, Studs, Sinks, Tap</t>
  </si>
  <si>
    <t>Directive 019: Compliance  Assurance</t>
  </si>
  <si>
    <t>AB.Dir019</t>
  </si>
  <si>
    <t>http://www.aer.ca/documents/directives/Directive019.pdf</t>
  </si>
  <si>
    <t xml:space="preserve">The primary objective of this Directive is to ensure compliance with the environment, health and safety as well as stakeholder confidence requirements placed upon operations that are licenced by the Alberta Energy Regulator (AER).  Two activities are used, within this Directive, to ensure compliance: prevention and enforcement.  
This Directive prescribes steps that licensees must take when a non-compliance is found by the AER.  Activities are categorized in terms of risk and enforcement is determined according to that risk categorization.  The Directive also describes the appeal process for enforcement actions taken by the AER and the AERs' voluntary Self-Disclosure policy.  Finally, this Directive describes when compliance information will be made available.
</t>
  </si>
  <si>
    <t>Natural Resource Management, Environment Management, Security and Public Safety, Air Emissions and Ambient Air Quality, Water Use and Wastewater Management, Waste Management, Hazardous Materials Management, Communications and Utilities, Equipment</t>
  </si>
  <si>
    <t>Level, Tables, Handles, Telephones, Files, Reservoirs</t>
  </si>
  <si>
    <t>Directive 077: Pipelines— Requirements and Reference Tools</t>
  </si>
  <si>
    <t>Ab.Dir077</t>
  </si>
  <si>
    <t>https://legislation.nimonikapp.com/legislations/4468/legislation_texts</t>
  </si>
  <si>
    <t>https://static.aer.ca/prd/documents/directives/Directive077.pdf</t>
  </si>
  <si>
    <t xml:space="preserve">The purpose of this Directive is to supplement the technical guidance given in the Pipeline Regulation (RSA2000,cP-15) and the CSA Z662: Oil and Gas Pipeline Systems.  It provides guidance regarding the design, construction and operation of oil and gas pipelines.  </t>
  </si>
  <si>
    <t>Pipe, Mops, Fittings, Leak Detectors, Tables, Barrier, Insulation, Racks, Level, Switches, Pumps, Jacks, Pump jacks, Boxes, Telephones, Pipe Fittings, Recorders, Tubing, Valves, Manifolds, Header, Scrapers, Compressors, Heaters, Tank, Conduits, Tubes, Conveyance, Gaskets, Reservoirs, Bolt, Cables, Regulator, Bin, Presses, Bur, Ducts, Pans, Gate, Vises, Pins, Ovens, Signs, Hose, Logging equipment, Oilers, Mats, Train, Dams, Ropes, Energy using equipment, Bit, Handles, Magnet, Financial Penalty, Files, Sanction, Violation, Criminal Charge, Cap, Tags, Pens, Drill, Chairs</t>
  </si>
  <si>
    <t>Code of Practice for Land Treatment of Soil Containing Hydrocarbons</t>
  </si>
  <si>
    <t>COP-LTSCH</t>
  </si>
  <si>
    <t>https://legislation.nimonikapp.com/legislations/4469/legislation_texts</t>
  </si>
  <si>
    <t>http://www.qp.alberta.ca/documents/codes/HYDROCARBONS.PDF</t>
  </si>
  <si>
    <t xml:space="preserve">This Code of Practice applies to any individual who constructs, operates, or reclaims a registered oil site requiring treatment of soil containing hydrocarbons, as regulated by the Alberta Environmental Protection and Enhancement Act. The Act mandates the protection of the environment during oil extraction, management, and treatment for impurities. 
Part 3 identifies the procedure to classify a site and to apply for a site registration. 
Part 4 outlines site design requirements for those soils containing hydrocarbons. 
Part 5 outlines requirements for land treatment, including a table of quality limits for release of runoff and soil monitoring procedures for class I and II registered sites.
Part 7 lists reporting requirements for violations of this Code of Practice. 
Finally, Part 8 establishes record keeping requirements for Soil Containing Hydrocarbons. </t>
  </si>
  <si>
    <t>Cables, Presses, Ducts, Pans, Mill, Scale, Gate, Squares, Pins, Signs, Reservoirs, Level, Mats, Dams, Ropes, Bit, Scales, Telephones, Handles, Financial Penalty, Carts, Sanction, Violation, Criminal Charge, Barrier, Cap, Tables, Berm, Pens</t>
  </si>
  <si>
    <t>Oil Sands Conservation Act</t>
  </si>
  <si>
    <t>RSA2000,cO-7</t>
  </si>
  <si>
    <t>https://legislation.nimonikapp.com/legislations/4503/legislation_texts</t>
  </si>
  <si>
    <t>https://www.canlii.org/en/ab/laws/stat/rsa-2000-c-o-7/latest/rsa-2000-c-o-7.html</t>
  </si>
  <si>
    <t>The purpose of this Act is to regulate and manage the oil sand resources of Alberta.  It aims to control pollution and conserve resources on the oil sands and it provides for the appraisal of Alberta’s oil sands resources.  Finally, the act establishes the scheme of approvals for the Energy Resources Conservation Board for the development of oil sands resources.</t>
  </si>
  <si>
    <t>Lights, Regulator, Signs, Cables, Bin, Ducts, Pans, Gate, Vises, Pins, Ovens, Fuse, Pipe, Studs, Pile, Hose, Balance, Mats, Dams, Ropes, Energy using equipment, Bit, Financial Penalty, Sanction, Violation, Criminal Charge, Cap, Tables, Pens, Drill</t>
  </si>
  <si>
    <t>https://legislation.nimonikapp.com/legislations/4504/legislation_texts</t>
  </si>
  <si>
    <t>https://canlii.ca/t/83s4</t>
  </si>
  <si>
    <t xml:space="preserve">This regulation aims to regulate oil sand development in Alberta.  Operations covered by this regulation include: drilling, completion, servicing and production.  It also sets the requirements of operators during mining, in situ operations, processing and when a spill occurs. </t>
  </si>
  <si>
    <t>Natural Resource Management, Water Use and Wastewater Management, Air Emissions and Ambient Air Quality, Hazardous Materials Management, Environment Management, Security and Public Safety, Equipment, Energy Management, Fines, Penalties and Sanctions</t>
  </si>
  <si>
    <t>Manifolds, Regulator, Tank, Reservoirs, Header, Valves, Pipe, Signs, Files, Wire, Drill, Bearings, Scales, Generators, Sieves, Cables, Bin, Presses, Bur, Ducts, Scale, Pins, Studs, Pile, Hose, Plugs, Balance, Mats, Dams, Ropes, Energy using equipment, Bit, Financial Penalty, Counters, Energy efficiency and saving, Sanction, Violation, Criminal Charge, Cap, Tables, Pens</t>
  </si>
  <si>
    <t>Energy Resources Conservation Act</t>
  </si>
  <si>
    <t>https://legislation.nimonikapp.com/legislations/4505/legislation_texts</t>
  </si>
  <si>
    <t>https://www.canlii.org/en/ab/laws/stat/rsa-2000-c-e-10/latest/rsa-2000-c-e-10.html</t>
  </si>
  <si>
    <t>This repealed Act established and governed the conduct of the Energy Resources Conservation Board.</t>
  </si>
  <si>
    <t>Cables, Bin, Presses, Ducts, Bench, Nuts, Gate, Pins, Signs, Fuse, Pipe, Studs, Hose, Chairs, Mats, Train, Ropes, Energy using equipment, Bit, Financial Penalty, Files, Bearings, Sanction, Violation, Criminal Charge, Cap, Pens</t>
  </si>
  <si>
    <t>https://canlii.ca/t/8rsn</t>
  </si>
  <si>
    <t>This regulation relates to the board of directors for the Alberta Energy Regulator.  It describes their powers as well as the process by which the board will consider applications for an approval for a project.</t>
  </si>
  <si>
    <t>Environment Management</t>
  </si>
  <si>
    <t>Alberta Energy Regulator Administration Fees Rules</t>
  </si>
  <si>
    <t>Alta.Reg.98/2013</t>
  </si>
  <si>
    <t>https://legislation.nimonikapp.com/legislations/4605/legislation_texts</t>
  </si>
  <si>
    <t>https://canlii.ca/t/8rsp</t>
  </si>
  <si>
    <t>This regulations defines fees for operators of wells, coal mines and oil sands projects</t>
  </si>
  <si>
    <t>Communications and Utilities, Natural Resource Management, Financial Administration, Accounting, Charges, Equipment, Fines, Penalties and Sanctions</t>
  </si>
  <si>
    <t>Telephones, Signs, Fuse, Cables, Financial Penalty, Regulator, Bur, Ducts, Sanction, Violation, Criminal Charge, Pans, Ropes, Tables, Bit, Pens</t>
  </si>
  <si>
    <t>https://legislation.nimonikapp.com/legislations/4606/legislation_texts</t>
  </si>
  <si>
    <t>https://canlii.ca/t/8rsl</t>
  </si>
  <si>
    <t>This regulation prescribes security measures for facilities that carry out mining and pipeline plants.</t>
  </si>
  <si>
    <t>Security and Public Safety, Environment Management, Energy Management, Equipment, Fines, Penalties and Sanctions</t>
  </si>
  <si>
    <t>Financial Penalty, Pipe, Regulator, Files, Counters, Mats, Hose, Cap, Energy using equipment, Level</t>
  </si>
  <si>
    <t>Alberta Energy Regulator Rules of Practice</t>
  </si>
  <si>
    <t>Alta.Reg.99/2013</t>
  </si>
  <si>
    <t>https://legislation.nimonikapp.com/legislations/4607/legislation_texts</t>
  </si>
  <si>
    <t>https://canlii.ca/t/8rsq</t>
  </si>
  <si>
    <t>This regulation determines the process by which applications for energy developments are evaluted.  It outlines the contents needed for such an application as well as process by which hearings on applications are conducted and appeals on regulatory decisions are made.</t>
  </si>
  <si>
    <t>Cables, Regulator, Bin, Ducts, Bench, Pans, Scale, Gate, Vises, Pins, Signs, Fuse, Pipe, Hose, Davits, Mats, Dams, Ropes, Energy using equipment, Bit, Scales, Telephones, Financial Penalty, Magnet, Files, Sanction, Violation, Criminal Charge, Tables, Tags, Pens</t>
  </si>
  <si>
    <t>BC.Reg.30/2013</t>
  </si>
  <si>
    <t>https://legislation.nimonikapp.com/legislations/4616/legislation_texts</t>
  </si>
  <si>
    <t>https://canlii.ca/t/8s1f</t>
  </si>
  <si>
    <t>This repealed Regulation exempts persons to hold a pipeline permit if that person holds a certificate as issued under the Pipeline Act and follow the conditions as stated in the Exemption Regulation.</t>
  </si>
  <si>
    <t>Uncategorized, Energy Management, Equipment</t>
  </si>
  <si>
    <t>Energy using equipment, Pipe</t>
  </si>
  <si>
    <t>https://legislation.nimonikapp.com/legislations/4622/legislation_texts</t>
  </si>
  <si>
    <t>https://canlii.ca/t/8252</t>
  </si>
  <si>
    <t>This objective of this Act is to regulate the energy industry in Alberta.  Notably, it establishes the Alberta Utilities Commission (AUC) to manage the delivery of Alberta's utility services.  Part I and Part II of the Act establishes the AUC and sets out its' roles and responsibilities.  Part III and Part IV set conditions for Orders and the associated appeal processes.  Part V of the Act sets out the roles and responsibilties of the Market Surveillance Administrator.   Finally, the remainder of the Act is dedicated to defining offences and development of rules and regulations.</t>
  </si>
  <si>
    <t>Communications and Utilities, Equipment, Energy Management, Fines, Penalties and Sanctions</t>
  </si>
  <si>
    <t>Cables, Bin, Presses, Ducts, Bench, Pans, Gate, Vises, Pins, Signs, Fuse, Pipe, Hose, Level, Chairs, Mats, Train, Dams, Ropes, Energy using equipment, Bit, Financial Penalty, Files, Bearings, Sanction, Violation, Criminal Charge, Cap, Pens</t>
  </si>
  <si>
    <t>https://legislation.nimonikapp.com/legislations/4623/legislation_texts</t>
  </si>
  <si>
    <t>https://static.aer.ca/prd/documents/directives/Directive017.pdf</t>
  </si>
  <si>
    <t>This Directive describes the measurement, accounting and reporting requirements for upstream petroleum facilities and some downstream pipeline operations.  It applies to all holders of a licence, granted under the Oil and Gas Conservation Act.  The directive describes procedures, methodologies and reporting requirements for the measurement of fluid volumes.  Finally, the Directive describes audit record keeping requirements.</t>
  </si>
  <si>
    <t>Pumps, Gauges, Compressors, Plungers, Tap, Header, Tank, Valves, Trucks, Pressure Gauges, Labels, Fittings, Recorders, Microprocessors, Tags, Pens, Alarms, Pipe, Bench, Lights, Gate, Heaters, Controllers, Desiccants, Vacuums, Tubes, Counters, Conduits, Nozzles, Wedge, Insulation, Timers, Manifolds, Squares, Clocks, Reservoirs, Hooks, Tubing, Boxes, Pressure Boosters, Mixers, Enclosures, Floats, Generators, Loops, Strainers, Thermocouples, Cap, Flags, Regulator, Level, Scales, Transducers, Cables, Tables, Train, Mirrors, Bags, Glass, Handles, Indicators, Vehicle, Markers, Drum, Railroad, Files, Signs, Telephones, Jacks, Pump jacks, Fuel Cans, Scaler, Shaft, Piston, Racks, Flowmeters, Height Gauges, Bin, Mixer, Pins, Ovens, Energy using equipment, Bit, Filters, Drill, Hose, Oilers, Jars, Thermometer, Sanction, Violation, Criminal Charge, Radio, Gauge, Nuts, Scale, Fuse, Balance, Mats, Ropes, Financial Penalty, Magnet, Energy source, Presses, Bur, Ducts, Pans, Mill, Vises, Plugs, Dams, Nails, Hopper, Synchro</t>
  </si>
  <si>
    <t>Directive 039: Revised Program to Reduce Benzene Emissions from Glycol Dehydrators</t>
  </si>
  <si>
    <t>AB.Dir039</t>
  </si>
  <si>
    <t>https://legislation.nimonikapp.com/legislations/4624/legislation_texts</t>
  </si>
  <si>
    <t>https://static.aer.ca/prd/documents/directives/Directive039.pdf</t>
  </si>
  <si>
    <t>This Directive aims to reduce benzene emissions from glycol dehydrators so that Alberta may ensure compliance with the Alberta Ambient Air Quality Objectives.  It requires that those operations that are licensed by the Alberta Energy Regulator (AER) to reduce benzene emissions and to report such emissions.  This Directive should be used in conjunction with Directive 060: Upstream Petroleum Industry Flaring, Incinerating and Venting to manage cumulative emissions.</t>
  </si>
  <si>
    <t>Pumps, Telephones, Contactor, Gauges, Tank, Level, Tables, Files, Compressors, Plungers, Flags, Regulator, Signs, Brackets, Timber, Cables, Condenser, Presses, Ducts, Pans, Gate, Vises, Mats, Cap, Pens, Bin, Sights, Bur, Mill, Pins, Racks, Pipe, Pile, Hose, Oilers, Balance, Train, Ropes, Energy using equipment, Generators, Handles, Financial Penalty, Tags, Gauge, Chairs</t>
  </si>
  <si>
    <t>https://legislation.nimonikapp.com/legislations/4625/legislation_texts</t>
  </si>
  <si>
    <t>https://static.aer.ca/prd/documents/directives/Directive050.pdf</t>
  </si>
  <si>
    <t>This Directive sets requirements for the treatment and disposal of drilling waste.  Drilling waste is defined as the mud and cuttings generated while drilling a well and directional drilling for the purpose of pipeline construction.  The methodology prescribed in the Directive applies to a one-time disposal or management for drilling waste generated from one well, one well licensee's drilling program or pipeline-related directional drilling.
The Directive gives the responsibility for the proper management of drilling waste to the licensee of the well or pipeline.  Alberta Energy Regulator may inspect operations to comply with this Directive.  If a non-compliance is found, actions may be taken as determined by Directive 19: Compliance Assurance and the Oil and Gas Conservation Act.  This Directive is adopted by reference under the Oil and Gas Conservation Regulations (Alta.Reg.151/1971).</t>
  </si>
  <si>
    <t>Waste Management, Environment Management, Equipment, Energy Management, Fines, Penalties and Sanctions</t>
  </si>
  <si>
    <t>Berm, Barrier, Pumps, Drill, Tank, Flags, Handles, Indicators, Bearings, Markers, Sieves, Screen, Gauges, Pails, Filters, Springs, Drum, Mirrors, Tables, Level, Files, Chain, Lights, Pipe, Vacuums, Trucks, Timber, Hose, Sprinklers, Cap, Sorbents, Glass, Scales, Bench, Telephones, Saws, Ovens, Tubes, Tap, Bit, Reservoirs, Drill Bits, Regulator, Squares, Bin, Compasses, Pins, Energy using equipment, Carts, Cable Ties, Pens, Cables, Sights, Gate, Signs, Studs, Electric blender, Chairs, Counters, Sanction, Violation, Criminal Charge, Tags, Radio, Gauge, Nuts, Scale, Floats, Balance, Mats, Train, Ropes, Financial Penalty, Partitions, Presses, Bur, Ducts, Pans, Backhoes, Mill, Vises, Racks, Pile, Dams</t>
  </si>
  <si>
    <t>Directive 051: Injection and Disposal Wells – Well Classifications, Completions, Logging and Testing Requirements</t>
  </si>
  <si>
    <t>Ab.Dir051</t>
  </si>
  <si>
    <t>https://legislation.nimonikapp.com/legislations/4626/legislation_texts</t>
  </si>
  <si>
    <t>https://static.aer.ca/prd/documents/directives/Directive051.pdf</t>
  </si>
  <si>
    <t>This Directive prescribes the information that is to be submitted with an application for approval to inject or dispose of certain fluids into disposal wells.  It sets requirements for the operating and monitoring of injection or disposal of fluids.</t>
  </si>
  <si>
    <t>Waste Management, Water Use and Wastewater Management, Equipment, Energy Management, Fines, Penalties and Sanctions</t>
  </si>
  <si>
    <t>Pipe, Tubing, Plugs, Tables, Sights, Recorders, Glass, Level, Generators, Regulator, Tank, Reservoirs, Filters, Bearings, Vacuums, Cap, Scales, Scaler, Gauges, Markers, Cables, Bin, Presses, Wire, Bur, Radio, Ducts, Pans, Nuts, Mill, Scale, Gate, Pins, Signs, Pile, Hose, Oilers, Seats, Mats, Train, Dams, Ropes, Energy using equipment, Bit, Handles, Magnet, Financial Penalty, Carts, Sanction, Violation, Criminal Charge, Pens, Drill, Tap, Gauge</t>
  </si>
  <si>
    <t>Directive 071: Emergency Preparedness and Response Requirements for the Petroleum Industry</t>
  </si>
  <si>
    <t>Ab.Dir071</t>
  </si>
  <si>
    <t>https://legislation.nimonikapp.com/legislations/4627/legislation_texts</t>
  </si>
  <si>
    <t>https://static.aer.ca/prd/documents/directives/Directive071.pdf</t>
  </si>
  <si>
    <t xml:space="preserve">This Directive prescribes the necessary components for an effective Emergency Response Plans (ERP).  An ERP is a plan to respond to emergencies and may include the following activities: identification of hazards, preparation and maintenance of ERPs, response procedures and designation of response personnel.  The Directive is divided into 2 parts: Part A describes the procedure for creating an ERP in order to be approved by the Alberta Energy Regulator.  Part B describes the steps that licenced operations must take to ensure that they can effectively implement their ERPs and respond to emergencies.
The Alberta Energy Regulator will assess compliance with these plans.
</t>
  </si>
  <si>
    <t>Telephones, Handles, Files, Regulator, Level, Drill, Boxes, Signs, Valves, Tubing, Tables, Tank, Cell phone, Indicators, Scales, Gearshift, Alarms, Barrier, Pumps, Bearings, Radio, Doors, Furnaces, Thermostats, Gears, Cables, Bin, Presses, Bur, Ducts, Pans, Nuts, Scale, Gate, Pins, Vises, Racks, Ovens, Fuse, Pipe, Studs, Hose, Bags, Balance, Chairs, Lights, Mats, Train, Dams, Ropes, Energy using equipment, Financial Penalty, Counters, Sanction, Violation, Criminal Charge, Cap, Tags, Pens, Bit</t>
  </si>
  <si>
    <t>Directive 056: Energy Development Applications and Schedules</t>
  </si>
  <si>
    <t>AB.Dir056</t>
  </si>
  <si>
    <t>https://legislation.nimonikapp.com/legislations/4628/legislation_texts</t>
  </si>
  <si>
    <t>https://static.aer.ca/prd/documents/directives/directive-056.pdf</t>
  </si>
  <si>
    <t>This Directive sets requirements for applicants who wish to construct or operate any petroleum industry energy development that include facilities, pipeline or wells.  It is incorporated by reference into the Oil and Gas Conservation Rules (Alta.Reg.151/1971). This Directive should be used in conjunction with all other provincial and federal legislation which apply to energy development. Information on how to file a licence application under this Directive is now contained in Manual 012: Energy Development Applications Procedures and Schedules (CA-AB-AB.Man012).</t>
  </si>
  <si>
    <t>Land Use, Natural Resource Management, Environment Management, Security and Public Safety, Air Emissions and Ambient Air Quality, Water Use and Wastewater Management, Equipment, Energy Management, Fines, Penalties and Sanctions</t>
  </si>
  <si>
    <t>Telephones, Parallels, Pipe, Shovels, Valves, Tank, Heaters, Compressors, Header, Wheels, Handles, Squares, Pumps, Boxes, Berm, Mops, Tubing, Pens, Barrier, Pipe Fittings, Fittings, Mill, Reservoirs, Cap, Drill, Bearings, Aircraft, Vacuums, Shaft, Mats, Springs, Trucks, Brackets, Desiccants, Generators, Files, Regulator, Tables, Level, Loops, Racks, Scales, Signs, Sockets, Plugs, Catches, Pans, Indicators, Torches, Welders, Compasses, Bin, Pins, Glass, Lights, Energy using equipment, Bit, Cables, Sights, Gate, Studs, Hose, Oilers, Chairs, Counters, Sanction, Violation, Criminal Charge, Tags, Nuts, Scale, Balance, Train, Ropes, Financial Penalty, Screen, Tap, Energy source, Presses, Bur, Ducts, Bench, Vises, Internal combustion engine, Pile, Derrick, Dams, Shades, Fuse, Nails, Filters</t>
  </si>
  <si>
    <t>https://legislation.nimonikapp.com/legislations/4629/legislation_texts</t>
  </si>
  <si>
    <t>https://static.aer.ca/prd/documents/directives/Directive058.pdf</t>
  </si>
  <si>
    <t>This Directive addresses a wide range of issues related to waste management on oilfields.  It describes expectations for management of oilfield wastes and delineates the responsibilities of licensees in the management waste.  Finally, requirements are set for recording, reporting and record retention.</t>
  </si>
  <si>
    <t>Waste Management, Land Use, Equipment, Natural Resource Management, Environment Management, Wildlife and Land Conservation, Financial Administration, Accounting, Charges, Air Emissions and Ambient Air Quality, Energy Management, Fines, Penalties and Sanctions</t>
  </si>
  <si>
    <t>Trucks, Pins, Generators, Handles, Tank, Railroad, Reservoirs, Bearings, Barrier, Pipe, Pile, Alarms, Expanded Metal, Filters, Insulation, Valves, Timers, Doors, Conduits, Springs, Telephones, Gauges, Controllers, Recorders, Vehicle, Motor vehicle, Motors, Tables, Waste Containers, Compressors, Labels, Level, Files, Desiccants, Scales, Drum, Signs, Crusher, Pumps, Timber, Brushes, Glass, Squares, Flags, Jars, Pails, Hot Plates, Furnaces, Ovens, Regulator, Boxes, Bags, Lights, Mill, Oil Filters, Funnels, Cabinets, Electrode, Ducts, Train, Gears, Tubes, Bottles, Heat Exchangers, Ballasts, Tubing, Cartridges, Sponges, Header, Sorbents, Conveyance, Bin, Screen, Heaters, Balance, Scale, Internal combustion engine, Energy using equipment, Bit, Bells, Carts, Cap, Pens, Drill, Tram, Cables, Sights, Gate, Studs, Hose, Oilers, Ramp, Chairs, Counters, Sanction, Violation, Criminal Charge, Tags, Radio, Gauge, Nuts, Fuse, Mats, Ropes, Financial Penalty, Magnet, Launder, Tap, Condenser, Presses, Bur, Bench, Pans, Vises, Racks, Dams, Sill</t>
  </si>
  <si>
    <t>https://legislation.nimonikapp.com/legislations/4630/legislation_texts</t>
  </si>
  <si>
    <t>https://static.aer.ca/prd/documents/directives/Directive060.pdf</t>
  </si>
  <si>
    <t>This Directive applies to all upstream petroleum industry wells and facilities.  It aims to reduce the public health and safety and environmental impacts associated with flaring, incinerating and venting activities.  Responsibility for compliance with this Directive can lie with the licensee, the operator or the approval holder, depending on the type of facility.  Specific requirements are set for:
* Solution Gas Management,
* Temporary and Well Test Flaring and Incinerating,
* Gas Battery, Dehydrator, Compressor Station Flaring, Incinerating and Venting,
* Gas Plant Flaring, Incinerating, and Venting,
* Pipeline Flaring, Incinerating and Venting,
* Performance Requirements,
* Venting and Fugitive Emissions Management Requirements,
* Sulphur Recovery Requirements and Sour Gas Combustion,
* Measure and Reporting,
Non-compliance will be responded to in accordance with Directive 019.</t>
  </si>
  <si>
    <t>Waste Management, Air Emissions and Ambient Air Quality, Equipment, Energy Management, Fines, Penalties and Sanctions</t>
  </si>
  <si>
    <t>Tank, Compressors, Telephones, Header, Squares, Safety Cans, Indicators, Alarms, Drum, Valves, Converter, Trucks, Tags, Gauges, Pressure Gauges, Screen, Pumps, Regulator, Heaters, Level, Tables, Scales, Substations, Files, Cap, Reservoirs, Handles, Signs, Generators, Relay, Switches, Controllers, Transducers, Piston, Fittings, Vehicle, Actuators, Thermoelectric generators, Furnaces, Desiccants, Vacuums, Drill, Parallels, Cell phone, Bin, Pins, Energy using equipment, Bit, Pens, Cables, Gate, Pipe, Studs, Hose, Oilers, Counters, Energy efficiency and saving, Sanction, Violation, Criminal Charge, Gauge, Nuts, Scale, Balance, Mats, Flags, Train, Ropes, Shaft, Financial Penalty, Tap, Energy source, Condenser, Presses, Bur, Ducts, Pans, Mill, Vises, Racks, Boxes, Dams, Nails, Filters</t>
  </si>
  <si>
    <t>Directive 074: Tailings Performance Criteria and Requirements for Oil Sands Mining Schemes</t>
  </si>
  <si>
    <t>AB.Dir074</t>
  </si>
  <si>
    <t>http://www.aer.ca/documents/directives/Directive074.pdf</t>
  </si>
  <si>
    <t>This Directive applies to all mineable oil sands that have tailings operations.  It requires the reduction of fluid tailings and their conversion into trafficable deposits.  It prescribes performance criteria for the reduction of fluid tailings and the trafficable deposits process.  Certain reporting and documents will be required to be submitted to the Alberta Energy Regulator (AER).  Different methodologies may be used to ensure compliance with this Directive.  However, all methodologies must be documented, communicated and approved by the Alberta Energy Regulator (AER).  A change in methodology may require additional approval from the AER.</t>
  </si>
  <si>
    <t>Regulator, Bearings, Files, Sieves, Crusher, Tables, Level</t>
  </si>
  <si>
    <t>Draft</t>
  </si>
  <si>
    <t>https://legislation.nimonikapp.com/legislations/4632/legislation_texts</t>
  </si>
  <si>
    <t>https://static.aer.ca/prd/documents/directives/Directive079.pdf</t>
  </si>
  <si>
    <t>In accordance with the Subdivision and Development Regulation ("the Regulation"), developers and property owners must identify the location of abandoned wells during the planning and approval process.  This Directive is meant to provide guidance for compliance with the Regulation.  It does this by establishing well locating and testing requirements, specifically, for abandoned wells which are located near existing and proposed surface development.</t>
  </si>
  <si>
    <t>Security and Public Safety, Land Use, Equipment, Energy Management, Fines, Penalties and Sanctions</t>
  </si>
  <si>
    <t>Pins, Regulator, Cap, Telephones, Bearings, Level, Files, Cables, Compasses, Bur, Ducts, Pans, Mill, Racks, Signs, Plugs, Mats, Train, Dams, Ropes, Energy using equipment, Sanction, Violation, Criminal Charge, Tables, Tags, Pens, Drill</t>
  </si>
  <si>
    <t>Directive 081: Water Disposal Limits and Reporting Requirements for Thermal In Situ Oil Sands Schemes</t>
  </si>
  <si>
    <t>Ab.Dir081</t>
  </si>
  <si>
    <t>https://legislation.nimonikapp.com/legislations/4633/legislation_texts</t>
  </si>
  <si>
    <t>https://static.aer.ca/prd/documents/directives/Directive081.pdf</t>
  </si>
  <si>
    <t>This Directive applies to thermal in situ oil sands operations.  It regulates a variety of issues related to water management.  Specifically, it sets water disposal requirements and provides formulas to determine water make-up, water productivity ratios, and produced water-recycle.  These formulas should be used and the results, reported to the Alberta Energy Regulator.  The Directive also sets specific reporting requirements for injection facility water streams.</t>
  </si>
  <si>
    <t>Regulator, Indicators, Tables, Bearings, Level, Reservoirs, Tank, Screen, Filters, Mirrors, Cables, Presses, Ducts, Pans, Mill, Energy consumption and conservation, Racks, Signs, Hose, Oilers, Balance, Mats, Ropes, Energy using equipment, Bit, Financial Penalty, Tags, Pens, Drill, Gate, Vises, Pipe, Pile, Sanction, Violation, Criminal Charge, Cap</t>
  </si>
  <si>
    <t>Directive 082: Operating Criteria: Resource Recovery Requirements for Oil Sands Mine and Processing Plant Operations</t>
  </si>
  <si>
    <t>AB.Dir082</t>
  </si>
  <si>
    <t>https://legislation.nimonikapp.com/legislations/4634/legislation_texts</t>
  </si>
  <si>
    <t>https://static.aer.ca/prd/documents/directives/Directive082.pdf</t>
  </si>
  <si>
    <t>This Directive applies to all oil sands mine and processing plant operations.  It documents the operating criteria that the Alberta Energy Regulator will use to in determining which oil sands an operator must mine, as a part of its operations.  In addition, it prescribes the volume of bitumen that an operator must recover from its mining and processing operations.</t>
  </si>
  <si>
    <t>Regulator, Bearings, Markers, Signs, Financial Penalty, Bin, Bur, Mats, Ducts, Hose, Pans, Bit, Drill, Pins</t>
  </si>
  <si>
    <t>https://legislation.nimonikapp.com/legislations/4635/legislation_texts</t>
  </si>
  <si>
    <t>https://canlii.ca/t/82lg</t>
  </si>
  <si>
    <t>This Regulation applies to exploration activities.  Exploration is defined as any activity, on land or water, which may have the potential to cause surface disturbance.  The potential to cause surface disturbance is determined by the Minister of Sustainable Resource Developments.  This Regulation is divided into seven Parts and contains requirements and procedures for attaining a licence to conduct exploration activities.  Part 3 determines the procedure to gain approval and Part 4 details the notifications to be made for exploration activities.</t>
  </si>
  <si>
    <t>Natural Resource Management, Water Use and Wastewater Management, Environment Management, Security and Public Safety, Waste Management, Equipment, Energy Management, Fines, Penalties and Sanctions, Hazardous Materials Management, Safety Management, Wildlife and Land Conservation</t>
  </si>
  <si>
    <t>Vehicle, Pins, Tags, Pipe, Drill, Files, Timber, Plugs, Level, Signs, Markers, Cables, Bin, Presses, Ducts, Pans, Gate, Vises, Fuse, Hose, Mats, Dams, Ropes, Energy using equipment, Bit, Financial Penalty, Counters, Sanction, Violation, Criminal Charge, Cap, Tables, Pens, Energy source</t>
  </si>
  <si>
    <t>https://legislation.nimonikapp.com/legislations/4653/legislation_texts</t>
  </si>
  <si>
    <t>https://canlii.ca/t/8s96</t>
  </si>
  <si>
    <t>This Regulation determines the types of energy-resource activities that are administered by the Alberta Energy Regulator (AER).  It specifies which parts and sections of other laws and regulations will be the responsibility of the AER.  Finally it delineates the transition of responsibilities from certain departments to the AER.</t>
  </si>
  <si>
    <t>Environment Management, Waste Management, Natural Resource Management, Equipment, Energy Management, Fines, Penalties and Sanctions</t>
  </si>
  <si>
    <t>Cables, Regulator, Ducts, Bench, Pans, Signs, Pipe, Hose, Reservoirs, Mats, Dams, Ropes, Energy using equipment, Trucks, Financial Penalty, Sanction, Violation, Criminal Charge, Cap, Pens</t>
  </si>
  <si>
    <t>Alberta Tier 1 Soil and Groundwater Remediation Guidelines (2016)</t>
  </si>
  <si>
    <t>SGRG-Tier1-AB</t>
  </si>
  <si>
    <t>general, oil_and_gas, chemicals_industry, construction, agriculture_industry, air_transportation</t>
  </si>
  <si>
    <t>https://legislation.nimonikapp.com/legislations/4655/legislation_texts</t>
  </si>
  <si>
    <t>https://open.alberta.ca/dataset/842becf6-dc0c-4cc7-8b29-e3f383133ddc/resource/1b851705-0622-485d-beee-752a627bdfc4/download/2016-albertatier1guidelines-feb02-2016a.pdf</t>
  </si>
  <si>
    <t>This Guideline has been superseded by Alberta Tier 1 Soil and Groundwater Remediation Guidelines (2019) (SGRG-Tier1-AB(2019)). 
This Guideline outlines methodologies to meet requirements set for substance release, remediation and reclamations as found in the Environmental Protection and Enhancement Act (RSA2000,cE-12). It outlines methodologies to meet requirements for the management of water quality and supply (including that of groundwater), as found in the Water Act (RSA2000,cW-3). This guideline serves as the first tier in a two tier system for soil and groundwater remediation.  It sets guidelines in relation to specific land-uses and requires minimal site- specific information. The land-use conditions which are covered by this, Tier 1 Guideline, may be found in s.5.1.2</t>
  </si>
  <si>
    <t>Environment Management, Water Use and Wastewater Management</t>
  </si>
  <si>
    <t>Alberta Tier 2 Soil and Groundwater Remediation Guidelines (2016)</t>
  </si>
  <si>
    <t>SGRG-Tier2-AB</t>
  </si>
  <si>
    <t>general, oil_and_gas, road_transportation, mining_and_minerals_industry, printing_and_pulp_and_paper</t>
  </si>
  <si>
    <t>https://legislation.nimonikapp.com/legislations/4656/legislation_texts</t>
  </si>
  <si>
    <t>https://open.alberta.ca/dataset/aa212afe-2916-4be9-8094-42708c950313/resource/5176235d-a73e-4293-afb6-b67cc02b9dce/download/2016-albertatier2guidelines-feb02-2016c.pdf</t>
  </si>
  <si>
    <t>This Guideline has been superseded by Alberta Tier 2 Soil and Groundwater Remediation Guidelines (2019) (SGRG-Tier2-AB(2019)).
This Guideline outlines methodologies to meet requirements set for substance release, remediation and reclamations as found in the Environmental Protection and Enhancement Act (RSA2000,cE-12).  It outlines methodologies to meet requirements for the management of water quality and supply, including that of groundwater, as found in the Water Act (RSA2000,cW-3).  This guideline serves as the second tier in a two-tier system for soil and groundwater remediation.  It details the methodology to use the Tier 1 Guidelines, with modifications (Part B) and briefly describes the development of site-specific remediation objectives.  Only general principles on how to develop site-specific remediation objectives are given in this document.  These types of objectives require detailed ecological assessments and human health risk assessments.</t>
  </si>
  <si>
    <t>Environmental Protection Guidelines for Pits</t>
  </si>
  <si>
    <t>EPGP-AB</t>
  </si>
  <si>
    <t>https://legislation.nimonikapp.com/legislations/4657/legislation_texts</t>
  </si>
  <si>
    <t>https://open.alberta.ca/dataset/86aaa9de-2ed6-426d-83ba-77b97bb6cae3/resource/da765acd-e31a-4f9c-9f49-ad9e3e72249d/download/enviroprotectionpits-il-1996.pdf</t>
  </si>
  <si>
    <t>This Guideline provides information on environmental protection for pits that are greater than 5 hectares.  It categorizes pits into three classes: Class I pits on private lands, Class II pits on private lands and Class III pits on public lands.  The guideline applies to the construction, operation and reclamation of all pits in Alberta.  It is separated into sections dealing with project planning, site preparation, construction, operation as well as final site reclamation.</t>
  </si>
  <si>
    <t>Regulator, Presses, Bur, Ducts, Pans, Vises, Pins, Signs, Pile, Hose, Level, Markers, Bags, Mats, Dyke, Ropes, Timber, Bit, Telephones, Handles, Financial Penalty, Sanction, Violation, Criminal Charge, Cap, Tables, Tags, Berm, Pens</t>
  </si>
  <si>
    <t>Code of Practice for Pits</t>
  </si>
  <si>
    <t>COP-P-AB</t>
  </si>
  <si>
    <t>https://legislation.nimonikapp.com/legislations/4658/legislation_texts</t>
  </si>
  <si>
    <t>http://www.qp.alberta.ca/documents/codes/pits.pdf</t>
  </si>
  <si>
    <t>This Code provides requirements for sand, gravel, clay or marl pits that are greater than or are equal to five hectares and are located on private lands.  This Code is enacted under the Conservation and Reclamation Regulation (Alta.Reg.115/1993).  Those who hold a valid registration for a pit must meet all requirements of this Code, however, it does not apply to those pits located on public lands.  The Code also sets out requirements for 5-year, security renewal and final reclamation reports to be sent to officials as designated in the Environmental Protection and Enhancement Act (RSA2000,cE-12).  Finally, the Code requires a certification of reclamation to be obtained before a surface lease can be terminated.</t>
  </si>
  <si>
    <t>Cables, Bin, Presses, Bur, Ducts, Pans, Nuts, Mill, Scale, Gate, Pins, Signs, Boxes, Pile, Hose, Level, Mats, Ropes, Bit, Trucks, Scales, Telephones, Handles, Financial Penalty, Files, Counters, Sanction, Violation, Criminal Charge, Cap, Tables, Tags, Pens</t>
  </si>
  <si>
    <t>https://legislation.nimonikapp.com/legislations/4659/legislation_texts</t>
  </si>
  <si>
    <t>https://open.alberta.ca/dataset/21a8abb5-0d6b-4dd3-91de-0c610585192d/resource/4eee3d58-8226-4b98-8781-6d2e442119cf/download/23698431998continuousemissionmonitoringsystem.pdf</t>
  </si>
  <si>
    <t>This Code establishes requirements for continuous emission monitoring systems (CEMS), which are needed for approvals under the Environmental Protection and Enhancement Act (RSA2000,cE-12).  It sets requirements for the installation, operation, maintenance and certifications of CEMS.  Finally, quality assurance and quality control procedures are described.</t>
  </si>
  <si>
    <t>Air Emissions and Ambient Air Quality</t>
  </si>
  <si>
    <t>Hazardous waste storage guidelines</t>
  </si>
  <si>
    <t>HWSG-AB</t>
  </si>
  <si>
    <t>https://open.alberta.ca/dataset/6996d1fa-2536-46df-96ab-31ae61e542a7/resource/70c67648-f292-4176-9fa2-831ad083ca37/download/1988-HazardousWasteStorageGuide.pdf</t>
  </si>
  <si>
    <t>The requirements set in this Guideline primarily apply to those who store hazardous waste in tanks or containers.  It applies to situations where hazardous waste is produced, collected or treated.  Anyone who stores hazardous waste produced by someone else or who stores waste longer than 365 days or in quantities exceeding 10 tonnes would need to follow the requirements set out in this Guideline.</t>
  </si>
  <si>
    <t>Waste Management</t>
  </si>
  <si>
    <t>Provincial Wetland Restoration/Compensation Guide</t>
  </si>
  <si>
    <t>PWR/CG-AB</t>
  </si>
  <si>
    <t>general, oil_and_gas, road_transportation, forestry, construction, mining_and_minerals_industry, agriculture_industry, air_transportation, printing_and_pulp_and_paper</t>
  </si>
  <si>
    <t>https://legislation.nimonikapp.com/legislations/4662/legislation_texts</t>
  </si>
  <si>
    <t>https://open.alberta.ca/dataset/49aa20de-2fba-46e2-822c-d758029ab726/resource/356a13e6-9fbb-4b01-98ff-0be645f992d5/download/2007-wetlandrestorationcompensation-guide.pdf</t>
  </si>
  <si>
    <t>This Guide explains how applications for approvals under the Water Act will be assessed when the loss of wetlands will occur.  It provides the process by which wetlands, which have been drained, may be restored or activities to take place when there will be an alteration to naturally occurring wetlands.</t>
  </si>
  <si>
    <t>Cables, Catches, Regulator, Bin, Presses, Bur, Ducts, Pans, Nuts, Pins, Fuse, Pipe, Doors, Pile, Hose, Balance, Mats, Dams, Ropes, Energy using equipment, Bit, Financial Penalty, Files, Carts, Sanction, Violation, Criminal Charge, Cap, Tables, Tags, Pens</t>
  </si>
  <si>
    <t>Specified Enactment Direction 001: Direction for Conservation and Reclamation Submissions</t>
  </si>
  <si>
    <t>SED-AB</t>
  </si>
  <si>
    <t>https://legislation.nimonikapp.com/legislations/4663/legislation_texts</t>
  </si>
  <si>
    <t>https://static.aer.ca/prd/documents/manuals/Direction_001.pdf</t>
  </si>
  <si>
    <t>This Specified Enactment Direction sets out requirements regarding the collection, content, reporting, and submission of conservation and reclamation information to the Alberta Energy Regulator (AER). Specifically, it applies to in situ oil sands and heavy oil processing plants and oil production sites. This standard replaces Manual 010: Guidelines for the Submission of a Pre-disturbance Assessment and Conservation and Reclamation Plan (AER, October 2014) and Guidelines for Submission of an Annual Conservation and Reclamation Report, Alberta Energy Regulator (AER, March 2014).</t>
  </si>
  <si>
    <t>Level, Regulator, Tables, Scales, Plugs, Pile, Timber, Labels, Cables, Bin, Sights, Bur, Ducts, Pans, Scale, Gate, Vises, Pins, Racks, Signs, Pipe, Studs, Hose, Balance, Lights, Mats, Train, Ropes, Energy using equipment, Bit, Bells, Telephones, Handles, Financial Penalty, Files, Counters, Cap, Tags, Pens, Tap</t>
  </si>
  <si>
    <t>https://legislation.nimonikapp.com/legislations/4664/legislation_texts</t>
  </si>
  <si>
    <t>https://static.aer.ca/prd/documents/manuals/Manual002.pdf</t>
  </si>
  <si>
    <t>The main purpose of this Manual is to aid the personnel of the Alberta Energy Regulator to ensure that drilling wastes are inspected in a consistent manner.  The Manual is divided into the following categories: Storage, Cement Returns, Sampling and Analysis and Disposal and Treatment.  Each section contains a short description of an activity which should be inspected and a risk level associated with non-compliance.</t>
  </si>
  <si>
    <t>Regulator, Bin, Bur, Ducts, Pans, Vises, Signs, Pipe, Tank, Lights, Mats, Energy using equipment, Financial Penalty, Counters, Pumps, Tables, Berm, Pens, Drill</t>
  </si>
  <si>
    <t>https://legislation.nimonikapp.com/legislations/4665/legislation_texts</t>
  </si>
  <si>
    <t>https://static.aer.ca/prd/documents/manuals/Manual005.pdf</t>
  </si>
  <si>
    <t>The main purpose of this Manual is to aid the personnel of the Alberta Energy Regulator to ensure pipelines are inspected in a consistent manner.  Each section contains a short description of an activity or event which could be identified as a non-compliant activity.  In addition, it identifies legislative texts which necessitate or prohibit certain actions.  A risk level is associated with each non-compliant activity or event.</t>
  </si>
  <si>
    <t>Pipe, Parallels, Shovels, Markers, Vehicle, Pumps, Compressors, Tank, Regulator, Mops, Tables, Bearings, Drill Bits, Drill, Bit, Anchors, Cables, Tap, Fittings, Valves, Wire, Gauges, Studs, Jacks, Welders, Electrode, Mill, Signs, Level, Insulation, Recorders, Files, Alarms, Conduits, Barrier, Railroad, Cap, Telephones, Bottles, Clamps, Hose, Generators, Drum, Heaters, Header, Shaft sinking equipment, Berm, Bags, Bin, Pins, Ovens, Hammers, Energy using equipment, Pens, Gate, Oilers, Handles, Sanction, Violation, Criminal Charge, Tags, Radio, Gauge, Sinks, Balance, Mats, Electrical contact, Train, Ropes, Financial Penalty, Lamp, Presses, Bur, Ducts, Pans, Vises, Racks, Plugs, Dams, Doors, Pile</t>
  </si>
  <si>
    <t>Enforcement of Private Surface Agreement Rules</t>
  </si>
  <si>
    <t>Alta.Reg.204/2013</t>
  </si>
  <si>
    <t>https://legislation.nimonikapp.com/legislations/4667/legislation_texts</t>
  </si>
  <si>
    <t>https://canlii.ca/t/8s9c</t>
  </si>
  <si>
    <t xml:space="preserve">The purpose of this regulation is to specify how private-surface agreements may be registered and enforced in Alberta.  Private surface agreements are agreements that an owner or occupier of land may enter into with an oil and gas operator.  Once an agreement is established and registered with the Alberta Energy Regulator (AER) it may be enforced using procedures as found in the Enforcement of Private-Surface Agreements Rules (Alta.Reg.204/2013).  The new Regulation may be summarized as follows:
* Part 1 establishes the steps for an owner or an occupier of land may take in order to register a private-surface agreement with the AER.
* Part 2 sets the procedures to be followed when an “Order to Comply” has been requested.  
* Finally, Part 3 describes information, related to the agreements, which may be rendered to the public, by the AER. </t>
  </si>
  <si>
    <t>Land Use, Equipment</t>
  </si>
  <si>
    <t>Telephones, Signs, Regulator, Files, Mats, Ducts, Pans, Pins</t>
  </si>
  <si>
    <t>https://legislation.nimonikapp.com/legislations/4672/legislation_texts</t>
  </si>
  <si>
    <t>https://canlii.ca/t/8scf</t>
  </si>
  <si>
    <t>The goal of this Regulation is to establish and support the Oil Sands Environmental Monitoring Program.  Specifically, s.3 of the Regulation applies to who those hold an approval or have an active application for an oil sands mine, oil sands processing plant, enhanced recovery in-situ oil sands or heavy oil processing plants.  Those who are involved in these types of activities would be required to participate in the Oil Sands Environmental Monitoring Program.  Participation in the Program implies the payment of fees, as found under s.4, and access to land in order to conduct monitoring assessments (s.10).</t>
  </si>
  <si>
    <t>Financial Penalty, Cables, Presses, Mats, Ducts, Sanction, Violation, Criminal Charge, Pans, Cap, Bit, Pens</t>
  </si>
  <si>
    <t>Guidelines for acquiring surface material dispositions on public land</t>
  </si>
  <si>
    <t>GASMDPL-AB</t>
  </si>
  <si>
    <t>https://open.alberta.ca/dataset/1eb8d00a-3e87-45a9-8fc8-6da6e93776a5/resource/cad87fda-c373-467c-a065-324f738498e3/download/2008-guidelinesurfacedispositionspublicland.pdf</t>
  </si>
  <si>
    <t>This guideline provides instructions on how to obtain approvals to extract surface materials from public lands, pursuant to the Public Lands Act  (RSA2000,cP-40). The guideline is broken into 3 parts: Part 1 concerns the application and approval process, Part 2: Site investigation, Part 3: Site development planning.</t>
  </si>
  <si>
    <t>Land Use, Natural Resource Management, Wildlife and Land Conservation</t>
  </si>
  <si>
    <t>Northwest Territories Lands Act</t>
  </si>
  <si>
    <t>SNWT2014,c13</t>
  </si>
  <si>
    <t>https://legislation.nimonikapp.com/legislations/4682/legislation_texts</t>
  </si>
  <si>
    <t>https://canlii.ca/t/8srm</t>
  </si>
  <si>
    <t>This Act applies to all lands under the administration and control of the "Commissioner of the Northwest Territories":http://www.commissioner.gov.nt.ca/.  Of significance, the Act allows the commissioner to designate certain lands as “land management zones”, as defined at s.3.  The Commissioner may sell or lease certain lands, in accordance with procedures found between s.6 - s.10.  However, certain lands, including those that extend into waters or boundary lines between other jurisdictions may still be excluded from leases, as found in s.11 and s.16.  Finally, s.29-s.33 defines the options, including administrative monetary penalties, available to government official when attempting to enforce the Act.</t>
  </si>
  <si>
    <t>Land Use, Energy Management, Equipment, Fines, Penalties and Sanctions</t>
  </si>
  <si>
    <t>Signs, Boom, Financial Penalty, Sanction, Violation, Criminal Charge, Hose, Dams, Ropes, Energy using equipment, Pens</t>
  </si>
  <si>
    <t>Oil and Gas Operations Act</t>
  </si>
  <si>
    <t>SNWT2014,c14</t>
  </si>
  <si>
    <t>https://canlii.ca/t/8srn</t>
  </si>
  <si>
    <t xml:space="preserve">Generally, this Act outlines the responsibilities for the regulation of oil and gas exploration, production, processing and transportation within onshore locations in the Northwest Territories.  The purpose of the Act is to promote safety, protection of the environment, the conservation of oil and gas resources and joint production agreements.  Administration of the Act will be accomplished by the Office of the Regulator of Oil and Gas Operations for most onshore lands excluding, initially, those found in the Inuvialuit Settlement Regions (ISR).  The National Energy Board will remain the regulator for both the ISR and offshore regions within the Northwest Territories.  Notable aspects of the Act may be summarized as follows:
* Prohibitions are placed on activities related to oil and gas, unless prior authorization has been obtained.  The procedure for obtaining an authorization may be found between s.10-s.16.  Record-keeping requirements for those who have obtained authorizations may be found at s.25.
* Part 1 establishes tolls and tariffs which may be charged for services rendered in relation to the transportation of oil and gas resources.  In particular, it sets the rules by which authorization holders may manage, operate and charge tolls and tariffs for the transportation of oil and gas.
* Part 2 prohibits any person from committing waste.  A precise definition of waste is given under s.56(4).  In addition, a conservation officer may make an order to stop operations giving rise to un-authorized waste generation.  In addition, s.62 places a prohibition against any person causing or permitting a spill.  Nevertheless, in the event of an un-authorized spill, procedures, as described under s.62-s.65, are to be followed.
* Part 3 regulates production arrangements.  In addition, it regulates those activities related to resources found near the ISR.
* Finally, part 4 entitled “Appeals and Enforcement” establishes the powers and actions which may be taken to enforce the Act.  Specifically, s.114(2) mandates a fine of CAD $1,000,000 or an imprisonment of two years, or both for activities found to be offences against the Act.
</t>
  </si>
  <si>
    <t>Natural Resource Management, Safety Management, Security and Public Safety</t>
  </si>
  <si>
    <t>SNWT2014,c15</t>
  </si>
  <si>
    <t>https://canlii.ca/t/8srh</t>
  </si>
  <si>
    <t>This Act governs the lease of oil and gas rights on all the petroleum lands controlled by the Commissioner of the Northwest Territories.  The lease gives the right to oil and gas companies to explore, and if successful, produce oil and gas.  Notable parts of this Act may be summarized as follows:
* Part 1 outlines general rules for the lease of petroleum resources.  Notably, s.9(2) prohibits the lease of lands which are withdrawn under the Northwest Territories Lands Act (SNWT2014,c13).
* Part 2 establishes the procedure for the Minister of Industry, Tourism and Investment (“the Minister”) to issue a call for bids for the leasing of lands.  However, the Minister cannot issue bids for those lands located on reserve lands.
* Part 3 sets the conditions by which an exploration license may be issued.  If a significant discovery is found then certain notification procedures for the "Oil and Gas Regulator":http://www.iti.gov.nt.ca/infopage/oil-gas-regulator must be followed (s.28), before a license may be issued.  Similarly, under s.33, certain conditions are established before drilling orders may be issued.
* Part 4 outlines the procedures to be followed when a commercial discovery has been found on petroleum lands.  Specifically, s.38 outlines the conditions for a production license.  In addition, a license is required for the subsurface deposit of petroleum or any other substance at depths of greater than 20 meters (s.44).
* Part 7 establishes an environmental studies research fund to finance environmental and social studies pertaining to petroleum exploration and development.  Under s.73, those who are interest owners in lands are required to deposit monies into this fund.
* Part 9 determines how the Act may be enforced.  Specifically, s.94 gives the power to the Minister to issue a notice to comply with certain provisions of the Act and that within a certain time frame.  Additionally, under s.94 (2), if non-compliance continues, the Minister may cancel an interest, subject to certain conditions.</t>
  </si>
  <si>
    <t>Waters Act</t>
  </si>
  <si>
    <t>SNWT2014,c18</t>
  </si>
  <si>
    <t>https://legislation.nimonikapp.com/legislations/4685/legislation_texts</t>
  </si>
  <si>
    <t>https://canlii.ca/t/8srk</t>
  </si>
  <si>
    <t xml:space="preserve">This Act describes how the Government of the Northwest Territories (GNWT) will regulate the use of water in the onshore areas of the Northwest Territories.  Generally, the Act prohibits certain activities in or around waters, prior to receiving appropriate permissions and monitoring.  Notable sections of the Act may be summarized as follows:
* s.11 prohibits the deposit of waste, unless a license is first issued.  Nevertheless, if wastes are deposited into water, a duty to report is found at s.11(3).  Exceptions to these provisions for lands and water located within the Tlicho community are found in s.12.
* s.13-59 establishes the Inuvialuit Water Board, formerly known as the Northwest Territories Water Board.  These sections, pertaining to the Inuvialuit and Nunavut Water Board (“the Boards”), determine: the rules of procedures for the Boards, how they will issue water licenses, conditions for issuing licenses as well as public hearings and other procedures which must be followed prior to issuing a license.  
* The powers and actions that inspectors may take in order to enforce the Act are found under s.66 - s.69.  In addition, a fine of CAD $250,00 or an imprisonment for a term of a year, or both, may be given for those how are found in contravention against the Act.
* Finally, s.79 - s.88 establish a framework for giving fines for those who commit a violation against this Act.  Fines may be given up to a maximum to CAD$25,000 for an individual or CAD$100,000 for others.  Director liability is established under s.82.
Administration of the Act is done by the "Department of Environment and Natural Resources":http://www.enr.gov.nt.ca/.  
</t>
  </si>
  <si>
    <t>Water Use and Wastewater Management, Waste Management, Equipment, Energy Management, Fines, Penalties and Sanctions</t>
  </si>
  <si>
    <t>Cables, Bin, Presses, Bur, Ducts, Pans, Gate, Vises, Pins, Signs, Fuse, Studs, Hose, Chairs, Balance, Mats, Train, Dams, Ropes, Energy using equipment, Bit, Financial Penalty, Fittings, Files, Counters, Sanction, Violation, Criminal Charge, Cap, Tables, Tags, Pens, Screen</t>
  </si>
  <si>
    <t>Greener Diesel - Renewable Fuel Content Requirements for Petroleum Diesel Fuel</t>
  </si>
  <si>
    <t>O.Reg.97/14</t>
  </si>
  <si>
    <t>https://legislation.nimonikapp.com/legislations/4688/legislation_texts</t>
  </si>
  <si>
    <t>https://canlii.ca/t/8ss0</t>
  </si>
  <si>
    <t xml:space="preserve">This Regulation requires that Ontario’s diesel fuel pool contain a minimum percentage of diesel made from renewable sources. The Regulation applies to those fuel suppliers to who supply fuel for on-road and off-road purposes.  The Regulation may be summarized as follows:
*Part II sets quality standards for blended diesel that are permitted for shipment in Ontario.  
* Part III establishes a phased approach for fuel suppliers to meet the requirements set by the new Regulation.  
* Finally, Part IV outlines the information that must be annually reported to the Ministry of Environment as well as record-keeping requirements.
</t>
  </si>
  <si>
    <t>Aircraft, Vehicle, Furnaces, Tank</t>
  </si>
  <si>
    <t>Northwest Territories Land Use Regulations</t>
  </si>
  <si>
    <t>NWT.Reg012-2014</t>
  </si>
  <si>
    <t>https://legislation.nimonikapp.com/legislations/4689/legislation_texts</t>
  </si>
  <si>
    <t>https://canlii.ca/t/8stw</t>
  </si>
  <si>
    <t>These Regulations apply primarily to those who wish to apply for a permit to search, bid on or exploit certain natural resources.  These Regulations specify those lands that are subject to the administration of the Commissioner of the Northwest Territories.  Excluded lands include those that are located in the Mackenzie Valley as defined in the Mackenzie Valley 
Resource Management Act (SC1998,c25). 
Details on the type of land use activities that require a land use permit are established.  These include:
* Small fuel caches
* Use of explosives
* Use of vehicles
* Drilling
* Hydraulic prospecting
* Earth moving and clearing
* Preparation of lines, trails, or rights-of-way
The Regulations outline the eligibility requirements, including the obligation for a preliminary and final plan, required for a permit application. Terms and conditions of a permit or a licence to manage natural resources are also established.  The failure to comply with a term or condition of a permit may result in a suspension or cancellation of a permit.</t>
  </si>
  <si>
    <t>Land Use, Security and Public Safety, Hazardous Materials Management, Environment Management, Waste Management, Equipment, Energy Management, Fines, Penalties and Sanctions</t>
  </si>
  <si>
    <t>Vehicle, Parallels, Regulator, Bit, Drill, Saws, Pumps, Level, Springs, Drum, Diamond Drill, Railroad, Dams, Brushes, Scales, Cables, Bin, Presses, Bur, Ducts, Pans, Scale, Gate, Pins, Signs, Fuse, Pipe, Studs, Hose, Bags, Mats, Ropes, Energy using equipment, Timber, Financial Penalty, Sanction, Violation, Criminal Charge, Cap, Pens</t>
  </si>
  <si>
    <t>Alberta Species at Risk List</t>
  </si>
  <si>
    <t>ASRL-2014</t>
  </si>
  <si>
    <t>https://open.alberta.ca/publications/species-assessed-by-the-conservation-committee-alberta-species-at-risk#summary</t>
  </si>
  <si>
    <t xml:space="preserve">This document lists those species which have been assessed by the Endangered Species Conservation Committee (ESCC) and designated as “Endangered species” as defined under the Wildlife Act (RSA2000,cW-10) (“the Act”), or have other designation such as “threatened” or “special status”.  Under the Act, once wildlife species are designated as “endangered” by the ESCC then recovery plans and certain prohibitions against the disturbance of habitat of these species may be enacted.
</t>
  </si>
  <si>
    <t>Wildlife and Land Conservation</t>
  </si>
  <si>
    <t>Mining Regulations</t>
  </si>
  <si>
    <t>NWTReg015-2014</t>
  </si>
  <si>
    <t>https://legislation.nimonikapp.com/legislations/4736/legislation_texts</t>
  </si>
  <si>
    <t>https://canlii.ca/t/8sts</t>
  </si>
  <si>
    <t xml:space="preserve">The Mining Regulations ("the Regulations") are one of several Regulations which mirror Federal legislation governing lands and resources in the Northwest Territories. The Regulations apply to lands in the Northwest Territories and provide for rights regarding mines and minerals on Crown lands which are open for exploration. It sets out the requirements for the issuance of a license to prospect.  A license to prospect provides the right to prospect for minerals and stipulates that only an individual holding a valid license is allowed to perform certain actions under the Mining Regulations.  The regulations prohibit prospecting and staking in certain, restricted areas.  Finally the Regulations set the requirements for the application of prospecting permits and the process to record or acquire a claim.
</t>
  </si>
  <si>
    <t>Recorders, Crusher, Mill, Concentrator, Tags, Bearings, Scales, Files, Shaft sinking equipment, Shaft, Sieves, Ramp, Labels, Collar, Drill, Indicators, Brushes, Cables, Regulator, Bin, Bur, Ducts, Bench, Nuts, Pans, Scale, Gate, Vises, Pins, Squares, Signs, Studs, Clocks, Lagging, Hose, Sinks, Level, Balance, Mats, Flags, Dams, Ropes, Energy using equipment, Bit, Financial Penalty, Magnet, Carts, Sanction, Violation, Criminal Charge, Cap, Tables, Pens</t>
  </si>
  <si>
    <t>Waters Regulations</t>
  </si>
  <si>
    <t>NWTReg019-2014</t>
  </si>
  <si>
    <t>https://legislation.nimonikapp.com/legislations/4738/legislation_texts</t>
  </si>
  <si>
    <t>https://canlii.ca/t/8ssx</t>
  </si>
  <si>
    <t>The Waters Regulations apply to areas established as water management areas in the Northwest Territories. The regulations outline the requirements for the issuance of a water use license.  The Regulations establish the process for a cancellation request or an application for expropriation. In addition, it determines applicable fees for applications, licenses or water fees. Finally, the regulation states requirements related to record-keeping and reporting.</t>
  </si>
  <si>
    <t>Cables, Ducts, Pans, Mill, Gate, Pins, Signs, Pipe, Tank, Studs, Hose, Reservoirs, Drill, Mats, Train, Dams, Ropes, Energy using equipment, Bit, Saws, Telephones, Financial Penalty, Files, Cap, Tables, Springs, Carts</t>
  </si>
  <si>
    <t>National Energy Board Pipeline Crossing Regulations, Part I</t>
  </si>
  <si>
    <t>SOR/88-528</t>
  </si>
  <si>
    <t>https://legislation.nimonikapp.com/legislations/4767/legislation_texts</t>
  </si>
  <si>
    <t>https://canlii.ca/t/7zvn</t>
  </si>
  <si>
    <t>These Regulations are repealed and replaced by the National Energy Board Pipeline Damage Prevention Regulations – Authorizations (SOR/2016-124).</t>
  </si>
  <si>
    <t>Signs, Pipe, Cables, Bin, Aircraft, Files, Wire, Anchors, Pans, Ropes, Energy using equipment, Excavator, Parallels, Vises</t>
  </si>
  <si>
    <t>Règlement de l’Office national de l’énergie sur le croisement de pipe-lines, partie I</t>
  </si>
  <si>
    <t>DORS/88-528</t>
  </si>
  <si>
    <t>https://legislation.nimonikapp.com/legislations/174429/legislation_texts</t>
  </si>
  <si>
    <t>https://canlii.ca/t/cp00</t>
  </si>
  <si>
    <t>Ce Règlement est abrogé et remplacé par le Règlement sur l'Office national de l'énergie sur la prévention des dommages aux pipelines (régime d'autorisation) (DORS/2016-124).</t>
  </si>
  <si>
    <t>National Energy Board Pipeline Crossing Regulations, Part II</t>
  </si>
  <si>
    <t>SOR/88-529</t>
  </si>
  <si>
    <t>https://legislation.nimonikapp.com/legislations/4791/legislation_texts</t>
  </si>
  <si>
    <t>https://canlii.ca/t/7zvp</t>
  </si>
  <si>
    <t>These Regulations are repealed and replaced by the National Energy Board Pipeline Damage Prevention Regulations – Obligations of Pipeline Companies (SOR/2016-133).</t>
  </si>
  <si>
    <t>Signs, Fuse, Pipe, Bur, Files, Mats, Ducts, Sanction, Violation, Criminal Charge, Hose, Pans, Dams, Tables, Excavator, Energy using equipment, Pens</t>
  </si>
  <si>
    <t>Règlement de l'office national de l'énergie sur le croisement de pipe-lines, partie II</t>
  </si>
  <si>
    <t>DORS/88-529</t>
  </si>
  <si>
    <t>https://legislation.nimonikapp.com/legislations/174428/legislation_texts</t>
  </si>
  <si>
    <t>https://canlii.ca/t/cp01</t>
  </si>
  <si>
    <t>Ce Règlement est abrogé et remplacé par le Règlement de l'Office national de l'énergie sur la prévention des dommages aux pipelines (obligations des compagnies pipelinières) (DORS/2016-133).</t>
  </si>
  <si>
    <t>The Forest and Prairie Protection Regulations</t>
  </si>
  <si>
    <t>Alta.Reg.135/1972</t>
  </si>
  <si>
    <t>https://canlii.ca/t/835d</t>
  </si>
  <si>
    <t xml:space="preserve">These repealed Regulations prescribed measures to be taken when working in or near designated forested areas, as defined under The Forest and Prairie Protection Act .  The Regulations notably describe the conditions under which a fire may be set in these areas.  Certain precautionary measures are set for the following operations and activities: general industrial operations, oil and gas wells, pipelines, incinerators, and power saws.
</t>
  </si>
  <si>
    <t xml:space="preserve">Environment Uncategorized , Occupational Health and Safety Uncategorized </t>
  </si>
  <si>
    <t>Wildlife Act, 2014</t>
  </si>
  <si>
    <t>SNWT2014,c31</t>
  </si>
  <si>
    <t>https://canlii.ca/t/8tvv</t>
  </si>
  <si>
    <t>This aim of this Act is to conserve and manage wildlife and habitat for the benefit of current and future generations.  It regulates these activities by requiring licenses to hunt, harvest, and perform research on conservation areas in the Northwest Territories. Conservation areas are defined as critical wildlife areas, wildlife sanctuaries, and wildlife preserves. The Act also prohibits the exportation of certain wildlife without appropriate licenses and/or permits. 
Part 4 describes commercial licenses and permits.  It also prohibits commercial activities such as wildlife harvesting, and fur farming. The hunting license and wildlife research license application processes are also found in this part. 
Failure to comply with this Act can result in fines and imprisonment, as found in Part 7 of the Act.</t>
  </si>
  <si>
    <t>Gas Protection Regulations</t>
  </si>
  <si>
    <t>RRNWT1990,cG-1</t>
  </si>
  <si>
    <t>https://legislation.nimonikapp.com/legislations/6945/legislation_texts</t>
  </si>
  <si>
    <t>https://canlii.ca/t/8h8x</t>
  </si>
  <si>
    <t>These regulations outline the standards to be followed when undertaking the following activities: gas fitting work, gas equipment and gas installations.  However, these regulations do not apply to a propane or natural gas an outdoor generator. 
These regulations prohibit persons from doing gas fitting work without a permit, or without first obtaining permission. Additionally, the regulations require suppliers of gas equipment or those install gas appliances to use specific materials safely, as defined in the Regulations. Inspection procedures and schedule fees are listed.</t>
  </si>
  <si>
    <t>Security and Public Safety, Communications and Utilities, Hazardous Materials Management, Equipment, Energy Management</t>
  </si>
  <si>
    <t>Conduits, Cables, Bin, Presses, Bur, Dispensers, Pans, Pins, Signs, Pipe, Labels, Hose, Oilers, Tubing, Vehicle, Ropes, Energy using equipment, Bit, Fittings, Automobiles, Cap, Tags, Pens, Tissues</t>
  </si>
  <si>
    <t>Gas Protection Act</t>
  </si>
  <si>
    <t>RSNWT1988,cG-2</t>
  </si>
  <si>
    <t>https://legislation.nimonikapp.com/legislations/6951/legislation_texts</t>
  </si>
  <si>
    <t>https://canlii.ca/t/8hxd</t>
  </si>
  <si>
    <t>This act applies to the inspection of gas installations, gas equipment, and the manufacturing, sale, and installation of gas equipment.
The act regulates the connection of gas supplies and also covers issues of liability.
Finally, Part 7 describes how the provisions of this Act will be enforced.</t>
  </si>
  <si>
    <t>Security and Public Safety, Communications and Utilities, Hazardous Materials Management</t>
  </si>
  <si>
    <t>Offshore Petroleum Administrative Monetary Penalties Regulations</t>
  </si>
  <si>
    <t>NLR.5/16</t>
  </si>
  <si>
    <t>https://legislation.nimonikapp.com/legislations/7317/legislation_texts</t>
  </si>
  <si>
    <t>https://canlii.ca/t/8wnq</t>
  </si>
  <si>
    <t>The main objective of these Regulations is to designate certain parts of the Act, its regulations, directions, requirements, decisions or orders as offences.  If a person is found in violation of these designated sections, they may be given a penalty.  Penalties are classified into different types (A or B) and the amount of the penalty will depend on the the type and gravity levels, as found in the Schedule appended to the Regulations.</t>
  </si>
  <si>
    <t>Natural Resource Management, Security and Public Safety, Environment Management, Equipment, Fines, Penalties and Sanctions</t>
  </si>
  <si>
    <t>Signs, Financial Penalty, Bin, Files, Sanction, Violation, Criminal Charge, Tables, Pens, Level</t>
  </si>
  <si>
    <t>CAN/CSA-Z246.1-13 - Security management for petroleum and natural gas industry systems</t>
  </si>
  <si>
    <t>Z246.1-13-en</t>
  </si>
  <si>
    <t>https://store.csagroup.org/ccrz__ProductDetails?viewState=DetailView&amp;cartID=&amp;sku=CAN/CSA-Z246.1-13&amp;isCSRFlow=true&amp;portalUser=&amp;store=&amp;cclcl=en_US</t>
  </si>
  <si>
    <t>This Standard applies to operators of petroleum and natural gas industry systems, including
* Pipeline systems,
* Liquefied natural gas production, storage, and handling facilities,
* Underground hydrocarbon storage,
* Petrochemical installations such as refineries and coal gasification plants, and
* Other oil and gas exploration, development, production treatment, processing, and storage operations.
The Standard specifies requirements for establishing a security management program to identify and manage security-related risks. Issues addressed include information security, personnel security, physical security, and security incident management.
A new edition of this standard is available: Z246.1-17 eBook - (eBook Version) Security management for petroleum and natural gas industry systems (Z246.1-17).</t>
  </si>
  <si>
    <t>Security and Public Safety, Hazardous Materials Management</t>
  </si>
  <si>
    <t>CAN/CSA-Z246.1-F13 - Gestion de la sûreté des installations liées à l'industrie du pétrole et du gaz naturel</t>
  </si>
  <si>
    <t>Z246.1-13-fr</t>
  </si>
  <si>
    <t>https://store.csagroup.org/ccrz__ProductDetails?viewState=DetailView&amp;cartID=&amp;sku=CAN/CSA-Z246.1-13&amp;isCSRFlow=true&amp;portalUser=&amp;store=&amp;cclcl=fr_CA</t>
  </si>
  <si>
    <t>Cette norme s'appuie sur l'utilisation d'un programme de gestion de la sûreté dans l'industrie du pétrole et du gaz naturel. Une nouvelle version de ce standard est disponible: Z246.1-F17 eBook - (eBook Version) Gestion de la sûreté des installations liées à l'industrie du pétrole et du gaz naturel (Z246.1-F17).</t>
  </si>
  <si>
    <t>SA2016,cC-16.9</t>
  </si>
  <si>
    <t>general, oil_and_gas, road_transportation, utilities_and_communications</t>
  </si>
  <si>
    <t>https://legislation.nimonikapp.com/legislations/8948/legislation_texts</t>
  </si>
  <si>
    <t>https://canlii.ca/t/8zbl</t>
  </si>
  <si>
    <t>This Act adds a carbon levy to the price of fuels, beginning on January 1, 2017. The Act determines entities and activities to which the levy applies (Part 1), and establishes provisions for the assessment and enforcement of the levy (Parts 2 and 3).</t>
  </si>
  <si>
    <t>Cables, Bin, Presses, Bur, Ducts, Bench, Pans, Mill, Gate, Pins, Racks, Ovens, Internal combustion engine, Fuse, Pipe, Signs, Tank, Boxes, Doors, Hose, Oilers, Heaters, Furnaces, Chain, Davits, Bags, Lights, Aircraft, Locomotive, Mats, Vehicle, Motor vehicle, Ropes, Energy using equipment, Compressors, Bit, Trucks, Financial Penalty, Files, Pumps, Receptacles, Motors, Energy efficiency and saving, Sanction, Violation, Criminal Charge, Cap, Tables, Pens, Drill</t>
  </si>
  <si>
    <t>Interim Regulatory Guide - Draft</t>
  </si>
  <si>
    <t>AER-InterimRegulatoryGuide</t>
  </si>
  <si>
    <t>https://www.aer.ca/documents/actregs/AER_InterimRegulatoryGuide.pdf.pdf</t>
  </si>
  <si>
    <t>This guide has been replaced by the Responsible Energy Development Act (SA2012,cR-17.3), now the single regulator for upstream oil, gas, oil sands and coal projects in Alberta.</t>
  </si>
  <si>
    <t>Climate Leadership Regulation</t>
  </si>
  <si>
    <t>AltaReg175/2016</t>
  </si>
  <si>
    <t>https://legislation.nimonikapp.com/legislations/9492/legislation_texts</t>
  </si>
  <si>
    <t>https://canlii.ca/t/8zpx</t>
  </si>
  <si>
    <t xml:space="preserve">The Climate Leadership Regulation provides regulations related to the kinds of activities and at what stages of the fuel supply chain a carbon levy is payable, as well as details of carbon levy exemptions. The Regulation specifies the prescribed activities that require payment of a carbon levy on fuel, as well as the stages in the fuel supply process at which no carbon levy is payable. The Regulation provides guidance on how a carbon levy is applicable in the event of a mixture or blend of fuels, and gives the Minister discretion to determine the method to determine the amount of fuel on which a carbon levy is payable. It also covers exemptions from the carbon levy.  The parts covered include: Carbon Levy, Rebates of Carbon Levy and Biomethane Credits, Remittance, Refund and Recovery of Carbon Levy, Registration, Records, Invoices, Reports and Returns, and General Matters.
</t>
  </si>
  <si>
    <t>Cables, Bin, Presses, Ducts, Pans, Mill, Gate, Vises, Pins, Ovens, Internal combustion engine, Fuse, Pipe, Signs, Tank, Hose, Lights, Aircraft, Locomotive, Mats, Vehicle, Motor vehicle, Ropes, Energy using equipment, Compressors, Bit, Trucks, Financial Penalty, Files, Motors, Sanction, Violation, Criminal Charge, Tables, Pens, Drill</t>
  </si>
  <si>
    <t>Gas Pipe Line Act</t>
  </si>
  <si>
    <t>https://legislation.nimonikapp.com/legislations/9541/legislation_texts</t>
  </si>
  <si>
    <t>https://canlii.ca/t/8gp7</t>
  </si>
  <si>
    <t>This Act contains regulations pertaining to gas pipelines for the province of Manitoba.</t>
  </si>
  <si>
    <t>Cables, Regulator, Conveyance, Bin, Presses, Bur, Ducts, Pans, Gate, Pins, Ovens, Signs, Fuse, Pipe, Tank, Hose, Davits, Valves, Mats, Dams, Ropes, Energy using equipment, Compressors, Timber, Financial Penalty, Fittings, Files, Sanction, Violation, Criminal Charge, Cap, Tags, Pens</t>
  </si>
  <si>
    <t>Directive 086: Reservoir Containment Application Requirements for Steam-Assisted Gravity Drainage Projects in the Shallow Athabasca Oil Sands Area</t>
  </si>
  <si>
    <t>AB.Dir086</t>
  </si>
  <si>
    <t>https://legislation.nimonikapp.com/legislations/9557/legislation_texts</t>
  </si>
  <si>
    <t>https://static.aer.ca/prd/documents/directives/Directive086.pdf</t>
  </si>
  <si>
    <t>This directive applies to all in-situ steam-assisted gravity drainage projects in a designated area of shallow bitumen deposits in the Athabasca Oil Sands Area.
The directive sets out application requirements for new scheme approvals and amendments to existing scheme approvals, to assess the integrity of caprock to determine if it would contain injected steam and heated reservoir fluids.</t>
  </si>
  <si>
    <t>Regulator, Presses, Bur, Ducts, Pans, Scale, Gate, Mops, Signs, Hose, Reservoirs, Level, Mats, Ropes, Bit, Scales, Financial Penalty, Gauges, Files, Cap, Tables, Tags, Pens, Drill, Gauge</t>
  </si>
  <si>
    <t>https://legislation.nimonikapp.com/legislations/9558/legislation_texts</t>
  </si>
  <si>
    <t>https://static.aer.ca/prd/documents/directives/Directive085.pdf</t>
  </si>
  <si>
    <t>This Directive establishes monitoring and enforcement measures for tailings management. In particular, it introduces an ecosystem approach to tailings management and applies to both new and legacy tailings. 
Management of tailings is evaluated using a four-level compliance system with Level 1 indicating operations within specified limits and Level 4 indicating situations in  which fluid tailings exceed specified limits.</t>
  </si>
  <si>
    <t>Dams, Indicators, Level, Files, Tables, Scales, Bench, Barrier, Lights, Cap, Regulator, Screws, Winches, Punches, Chairs, Nuts, Ballasts, Wire, Sinks, Bolt, Transducers, Dyke, Mats, Floats, Cables, Bin, Presses, Bur, Ducts, Pans, Scale, Gate, Vises, Pins, Racks, Signs, Fuse, Hose, Winch, Balance, Train, Ropes, Energy using equipment, Bit, Financial Penalty, Barge, Counters, Sanction, Violation, Criminal Charge, Tags, Pens</t>
  </si>
  <si>
    <t>Directive 084: Requirements for Hydrocarbon Emission Controls and Gas Conservation in the Peace River Area</t>
  </si>
  <si>
    <t>AB.Dir084</t>
  </si>
  <si>
    <t>https://legislation.nimonikapp.com/legislations/10372/legislation_texts</t>
  </si>
  <si>
    <t>https://static.aer.ca/prd/documents/directives/Directive084.pdf</t>
  </si>
  <si>
    <t>This Directive applies to heavy oil and bitumen operations in the Peace River area of northwestern Alberta. It specifies requirements related to odours and emissions, including reduction of fugitive emissions, conservation of solution gas, use of controls on venting and flaring, and minimization of odours from truck loading and unloading and tank cleaning and desanding.</t>
  </si>
  <si>
    <t>Natural Resource Management, Air Emissions and Ambient Air Quality, Equipment, Energy Management, Fines, Penalties and Sanctions</t>
  </si>
  <si>
    <t>Cables, Regulator, Bin, Presses, Bur, Ducts, Pans, Mill, Gate, Vises, Pins, Racks, Signs, Pipe, Actuators, Tank, Boxes, Hose, Heaters, Seats, Desks, Tubing, Plugs, Valves, Bags, Lights, Mats, Train, Dams, Ropes, Energy using equipment, Shaft, Compressors, Bit, Trucks, Financial Penalty, Gauges, Fittings, Pumps, Energy efficiency and saving, Sanction, Violation, Criminal Charge, Cap, Tables, Tags, Pens, Screen, Vacuums, Gauge</t>
  </si>
  <si>
    <t>Forest and Prairie Protection Regulation</t>
  </si>
  <si>
    <t>Alta.Reg.60/2017</t>
  </si>
  <si>
    <t>https://legislation.nimonikapp.com/legislations/10425/legislation_texts</t>
  </si>
  <si>
    <t>https://canlii.ca/t/9048</t>
  </si>
  <si>
    <t>This regulation provides general fire prevention precautions. It also sets out requirements for fire permit holders. This regulation applies to both individuals and industrial operations.</t>
  </si>
  <si>
    <t>Wildlife and Land Conservation, Security and Public Safety, Emergency Preparedness and Response, Equipment, Energy Management, Fines, Penalties and Sanctions</t>
  </si>
  <si>
    <t>Bin, Presses, Bur, Mill, Vises, Pins, Squares, Signs, Fuse, Pipe, Tank, Doors, Hose, Mufflers, Lights, Mats, Energy using equipment, Timber, Handles, Gauges, Financial Penalty, Sanction, Violation, Criminal Charge, Cap, Pens, Screen, Gauge</t>
  </si>
  <si>
    <t>Forest and Prairie Protection (Ministerial) Regulation</t>
  </si>
  <si>
    <t>Alta.Reg.65/2017</t>
  </si>
  <si>
    <t>https://legislation.nimonikapp.com/legislations/10426/legislation_texts</t>
  </si>
  <si>
    <t>https://canlii.ca/t/902c</t>
  </si>
  <si>
    <t xml:space="preserve">This regulation provides precautions and fire hazard reduction measures for industrial operations, including forest operations, manufacturing facilities, agriculture and exploration. It outlines the requirements related to debris disposal and firefighting operations. </t>
  </si>
  <si>
    <t>Cables, Bin, Bur, Ducts, Mill, Pipe, Tank, Pile, Hose, Parallels, Level, Fire hose, Mats, Vehicle, Dams, Energy using equipment, Timber, Financial Penalty, Tanker, Shovels, Tables, Pens</t>
  </si>
  <si>
    <t>Canadian Energy Regulator Processing Plant Regulations</t>
  </si>
  <si>
    <t>SOR/2003-39</t>
  </si>
  <si>
    <t>https://legislation.nimonikapp.com/legislations/12011/legislation_texts</t>
  </si>
  <si>
    <t>https://canlii.ca/t/7xxv</t>
  </si>
  <si>
    <t>The Regulations identify the duties imposed on a company with respect to designing, constructing, operating or abandoning a hydrocarbon processing plant.</t>
  </si>
  <si>
    <t>Hazardous Materials Management, Environment Management, Equipment, Energy Management, Fines, Penalties and Sanctions</t>
  </si>
  <si>
    <t>Compressors, Regulator, Pipe Fittings, Pumps, Pipe, Gauges, Fittings, Valves, Tank, Header, Level, Catches, Fire suppression, Alarms, Signs, Telephones, Cables, Presses, Bur, Ducts, Pans, Gate, Vises, Pins, Hose, Oilers, Balance, Mats, Train, Ropes, Energy using equipment, Sanction, Violation, Criminal Charge, Pens, Gauge</t>
  </si>
  <si>
    <t>Règlement de la Régie canadienne de l’énergie sur les usines de traitement</t>
  </si>
  <si>
    <t>DORS/2003-39</t>
  </si>
  <si>
    <t>https://legislation.nimonikapp.com/legislations/174453/legislation_texts</t>
  </si>
  <si>
    <t>https://canlii.ca/t/cn26</t>
  </si>
  <si>
    <t xml:space="preserve">Le présent règlement décrit les obligations imposées à une compagnie en matière de conception, de construction, d’exploitation, et d’abandon d’une usine de traitement d’hydrocarbures.
</t>
  </si>
  <si>
    <t>https://legislation.nimonikapp.com/legislations/12116/legislation_texts</t>
  </si>
  <si>
    <t>https://canlii.ca/t/rqp</t>
  </si>
  <si>
    <t>This Regulation implements the Oil, Gas and Salt Resources Act by setting out provisions related to exploration, drilling, and production.</t>
  </si>
  <si>
    <t>Natural Resource Management, Security and Public Safety, Hazardous Materials Management, Environment Management, Emergency Preparedness and Response, Equipment, Energy Management, Fines, Penalties and Sanctions</t>
  </si>
  <si>
    <t>Drill, Telephones, Compressors, Heaters, Tank, Pipe, Reservoirs, Cables, Valves, Plugs, Markers, Tags, Files, Tables, Level, Bearings, Scales, Conduits, Cap, Bin, Presses, Ducts, Pans, Scale, Vises, Pins, Signs, Fuse, Studs, Hose, Mats, Dams, Ropes, Energy using equipment, Bit, Financial Penalty, Barge, Counters, Sanction, Violation, Criminal Charge, Pens, Train, Gate</t>
  </si>
  <si>
    <t>RSO1990,cP.12</t>
  </si>
  <si>
    <t>Oil and Gas Pipeline Systems Code Adoption Document</t>
  </si>
  <si>
    <t>OGPCAD-ON</t>
  </si>
  <si>
    <t>https://legislation.nimonikapp.com/legislations/12139/legislation_texts</t>
  </si>
  <si>
    <t>https://www.tssa.org/en/fuels/resources/Documents/Code-Adoption-Document---Oil-Updated-Contact-Numbers.pdf</t>
  </si>
  <si>
    <t>This document, which is adopted by regulation, relates to certain pipeline systems that convey liquid hydrocarbons and fuel gases. The document specifies standards that are adopted with revisions.</t>
  </si>
  <si>
    <t>Hazardous Materials Management, Natural Resource Management, Security and Public Safety, Equipment</t>
  </si>
  <si>
    <t>Fittings, Reservoirs, Calipers, Valves, Tank, Welders, Markers, Pipe Joints, Vehicle, Tap, Pipe, Telephones, Sleeving</t>
  </si>
  <si>
    <t>TSSA Liquid Fuels Handling Code 2017</t>
  </si>
  <si>
    <t>TSSA-LFHC-2017</t>
  </si>
  <si>
    <t>https://legislation.nimonikapp.com/legislations/13221/legislation_texts</t>
  </si>
  <si>
    <t>https://store.csagroup.org/ccrz__ProductDetails?viewState=DetailView&amp;cartID=&amp;sku=TSSA%20LFHC-2017&amp;isCSRFlow=true&amp;portalUser=&amp;store=&amp;cclcl=en_US&amp;gclid=EAIaIQobChMIlq6GyfXs3AIVUgOGCh27RgA2EAAYASAAEgKD9PD_BwE</t>
  </si>
  <si>
    <t>This Code establishes requirements for the storage and handling of gasoline and other petroleum products, and other liquid products used as fuel, at bulk plants, marinas, retail outlets and private outlets. It includes provisions related to underground storage tanks and aboveground storage tanks. It also covers environmental remediation, equipment installation and operating requirements for gasoline facilities.</t>
  </si>
  <si>
    <t>Hazardous Materials Management, Environment Management, Equipment</t>
  </si>
  <si>
    <t>Tank, Signs, Regulator, Mats, Ducts, Pans, Tables, Pens, Pins</t>
  </si>
  <si>
    <t>https://legislation.nimonikapp.com/legislations/163304/legislation_texts</t>
  </si>
  <si>
    <t>https://static.aer.ca/prd/documents/directives/Directive010.pdf</t>
  </si>
  <si>
    <t>This Directive specifies design requirements for well casings and related accessories used for drilling in the energy industry.</t>
  </si>
  <si>
    <t>Pipe, Collar, Drill, Floats, Tubing, Tubes, Reservoirs, Tables, Level, Motors, Scales, Boxes, Cables, Bin, Presses, Bur, Ducts, Pans, Scale, Vises, Pins, Racks, Signs, Hose, Balance, Lights, Mats, Train, Dams, Ropes, Energy using equipment, Bit, Financial Penalty, Files, Counters, Sanction, Violation, Criminal Charge, Cap, Tags, Pens, Tap, Regulator, Chairs</t>
  </si>
  <si>
    <t>Directive 024: Large Facility Liability Management Program</t>
  </si>
  <si>
    <t>AB.Dir024</t>
  </si>
  <si>
    <t>https://legislation.nimonikapp.com/legislations/163305/legislation_texts</t>
  </si>
  <si>
    <t>https://static.aer.ca/prd/documents/directives/Directive024.pdf</t>
  </si>
  <si>
    <t>This Directive contains requirements related to the Large Facility Liability Management Program (LFP), a liability management program that applies to certain large upstream oil and gas facilities. The Directive includes provisions related to security deposits, orphaned facilities, LFP administration, and licence transfer.</t>
  </si>
  <si>
    <t>Regulator, Cables, Presses, Ducts, Pans, Mill, Vises, Racks, Signs, Pipe, Hose, Mats, Energy using equipment, Bit, Financial Penalty, Cap, Tables, Tags, Pens, Mops</t>
  </si>
  <si>
    <t>https://legislation.nimonikapp.com/legislations/163306/legislation_texts</t>
  </si>
  <si>
    <t>https://static.aer.ca/prd/documents/directives/Directive030.pdf</t>
  </si>
  <si>
    <t>This Directive describes how annual oilfield waste disposition reports are to be submitted. Oilfield waste is unwanted substances resulting from construction, operation, or reclamation of well sites, oil and gas batteries, gas plants, compressor stations, crude oil terminals, pipelines, gas gathering systems, heavy oil sites, oil sands sites, or related facilities.</t>
  </si>
  <si>
    <t>Waste Management, Equipment, Energy Management</t>
  </si>
  <si>
    <t>Gearshift, Generators, Tables, Signs, Header, Files, Regulator, Balance, Pipe, Mats, Ducts, Hose, Pans, Energy using equipment, Pens, Racks, Chairs, Cap</t>
  </si>
  <si>
    <t>https://legislation.nimonikapp.com/legislations/163307/legislation_texts</t>
  </si>
  <si>
    <t>https://static.aer.ca/prd/documents/directives/Directive040.pdf</t>
  </si>
  <si>
    <t>This Directive concerns pressure and deliverability tests, drill stem tests, fluid sampling and analysis, and coalbed methane and shale gas control well tests.</t>
  </si>
  <si>
    <t>Natural Resource Management, Air Emissions and Ambient Air Quality, Environment Management, Safety Management, Equipment, Energy Management, Fines, Penalties and Sanctions</t>
  </si>
  <si>
    <t>Drill, Vacuums, Sinks, Reservoirs, Mops, Flags, Seats, Gauges, Counters, Recorders, Tubing, Level, Files, Pressure Gauges, Tables, Generators, Gearshift, Telephones, Pumps, Transducers, Scales, Regulator, Cables, Bin, Presses, Bur, Wire, Ducts, Pans, Nuts, Mill, Gate, Vises, Pins, Racks, Signs, Pipe, Studs, Pile, Hose, Horns, Plugs, Balance, Mats, Train, Dams, Ropes, Energy using equipment, Bit, Financial Penalty, Sanction, Violation, Criminal Charge, Cap, Tags, Pens, Tap, Gauge, Scale, Ovens, Desks, Thermometer, Lights</t>
  </si>
  <si>
    <t>Directive 046: Production Audit Handbook</t>
  </si>
  <si>
    <t>AB.Dir046</t>
  </si>
  <si>
    <t>https://legislation.nimonikapp.com/legislations/163308/legislation_texts</t>
  </si>
  <si>
    <t>https://static.aer.ca/prd/documents/directives/Directive046.pdf</t>
  </si>
  <si>
    <t>This Directive lists the items checked and the procedures used by AER staff when conducting production audits of oil and gas production facilities, gas plants, and injection systems.</t>
  </si>
  <si>
    <t>Pipe, Gauges, Switches, Header, Tank, Tap, Jars, Pumps, Tags, Heaters, Plungers, Pens, Timers, Motors, Trucks, Mixers, Compressors, Parallels, Boxes, Ladders, Recorders, Files, Level, Tables, Height Gauges, Counters, Regulator, Plugs, Read only memories (ROMS), Converter, Lights, Tubes, Fittings, Micrometers, Transistors, Scales, Clocks, Resistance Temperature Detectors, Doors, Tubing, Catches, Controllers, Manifolds, Squares, Valves, Generators, Radio, Alarms, Cables, Racks, Bin, Mixer, Pins, Energy using equipment, Bit, Filters, Cap, Drill, Gate, Signs, Hose, Oilers, Handles, Barge, Sanction, Violation, Criminal Charge, Gauge, Nuts, Scale, Floats, Balance, Mats, Flags, Ropes, Financial Penalty, Magnet, Presses, Bur, Ducts, Pans, Mill, Vises, Lagging, Dams, Reservoirs, Thermometer, Telephones, Bench, Flowmeters</t>
  </si>
  <si>
    <t>https://legislation.nimonikapp.com/legislations/163309/legislation_texts</t>
  </si>
  <si>
    <t>https://static.aer.ca/prd/documents/directives/Directive059.pdf</t>
  </si>
  <si>
    <t>This Directive concerns records of well drilling, completion, servicing, and abandonment data for the oil and gas industry. It includes requirements related to data submission and reporting.</t>
  </si>
  <si>
    <t>Natural Resource Management, Privacy and Access to Information, Security and Public Safety, Hazardous Materials Management, Water Use and Wastewater Management, Equipment, Energy Management, Fines, Penalties and Sanctions</t>
  </si>
  <si>
    <t>Pipe, Tubing, Bit, Plugs, Boxes, Drill, Telephones, Cap, Tags, Bushings, Reservoirs, Regulator, Files, Tables, Header, Scales, Manifolds, Collar, Pumps, Level, Cables, Bin, Presses, Wire, Ducts, Pans, Mill, Scale, Gate, Vises, Pins, Racks, Signs, Hose, Lights, Mats, Train, Energy using equipment, Financial Penalty, Counters, Pens, Tap</t>
  </si>
  <si>
    <t>Directive 006: Licensee Liability Rating (LLR) Program</t>
  </si>
  <si>
    <t>AB.Dir006</t>
  </si>
  <si>
    <t>https://legislation.nimonikapp.com/legislations/163310/legislation_texts</t>
  </si>
  <si>
    <t>https://static.aer.ca/prd/documents/directives/Directive006.pdf</t>
  </si>
  <si>
    <t>This Directive concerns the Licensee Liability Rating Program, a liability management program that applies to certain upstream oil and gas wells, facilities, and pipelines.</t>
  </si>
  <si>
    <t>Regulator, Compressors, Brackets, Heaters, Reservoirs, Tables, Level, Tubing, Cables, Bin, Presses, Ducts, Pans, Vises, Pins, Racks, Signs, Pipe, Hose, Mats, Train, Ropes, Energy using equipment, Bit, Financial Penalty, Pumps, Cap, Tags, Pens, Drill, Mops</t>
  </si>
  <si>
    <t>Directive 075: Oilfield Waste Liability (OWL) Program</t>
  </si>
  <si>
    <t>AB.Dir075</t>
  </si>
  <si>
    <t>https://legislation.nimonikapp.com/legislations/163311/legislation_texts</t>
  </si>
  <si>
    <t>https://static.aer.ca/prd/documents/directives/Directive075.pdf</t>
  </si>
  <si>
    <t>This Directive concerns the Oilfield Waste Liability (OWL) Program, a liability management program that applies to certain oilfield waste management facilities. Oilfield waste is unwanted substances resulting from construction, operation, or reclamation of well sites, oil and gas batteries, gas plants, compressor stations, crude oil terminals, pipelines, gas gathering systems, heavy oil sites, oil sands sites, or related facilities.</t>
  </si>
  <si>
    <t>Regulator, Cables, Ducts, Pans, Mill, Vises, Racks, Signs, Pipe, Hose, Balance, Mats, Energy using equipment, Handles, Financial Penalty, Tags, Pens, Drill</t>
  </si>
  <si>
    <t>https://legislation.nimonikapp.com/legislations/163312/legislation_texts</t>
  </si>
  <si>
    <t>https://static.aer.ca/prd/documents/directives/Directive008_0.pdf</t>
  </si>
  <si>
    <t>This Directive contains requirements for the depth and design of the surface casing of wells that are at least 150 metres deep or that are used for oil and gas production, for underground injection, or for testing. The Directive also includes provisions concerning the substances used in drilling fluids.</t>
  </si>
  <si>
    <t>Water Use and Wastewater Management, Security and Public Safety, Equipment, Energy Management, Fines, Penalties and Sanctions</t>
  </si>
  <si>
    <t>Pipe, Tank, Springs, Alarms, Squares, Pumps, Seats, Drill, Tubing, Reservoirs, Regulator, Files, Collar, Tables, Level, Pans, Cables, Bin, Presses, Ducts, Nuts, Vises, Pins, Signs, Safety Cans, Mats, Sand core, Ropes, Energy using equipment, Financial Penalty, Counters, Cap, Tags, Pens, Bit</t>
  </si>
  <si>
    <t>Directive 083: Hydraulic Fracturing – Subsurface Integrity</t>
  </si>
  <si>
    <t>AB.Dir083</t>
  </si>
  <si>
    <t>https://legislation.nimonikapp.com/legislations/163313/legislation_texts</t>
  </si>
  <si>
    <t>https://static.aer.ca/prd/documents/directives/Directive083.pdf</t>
  </si>
  <si>
    <t>This Directive contains requirements for managing subsurface integrity associated with hydraulic fracturing subsurface operations. It does not apply to thermal wells.</t>
  </si>
  <si>
    <t>Water Use and Wastewater Management, Security and Public Safety, Equipment, Fines, Penalties and Sanctions</t>
  </si>
  <si>
    <t>Files, Barrier, Reservoirs, Level, Bearings, Cables, Regulator, Presses, Ducts, Pans, Mill, Gate, Pins, Signs, Relay, Studs, Hose, Mats, Financial Penalty, Pumps, Cap, Tables, Pens, Drill, Chairs</t>
  </si>
  <si>
    <t>https://legislation.nimonikapp.com/legislations/163314/legislation_texts</t>
  </si>
  <si>
    <t>https://static.aer.ca/prd/documents/directives/Directive009.pdf</t>
  </si>
  <si>
    <t>This Directive sets out provisions for setting and cementing casing at a well that is at least 150 metres deep or that is used for oil and gas production, for underground injection, or for testing.</t>
  </si>
  <si>
    <t>Calipers, Bearings, Pipe, Level, Pressure Gauges, Gauges, Regulator, Cables, Presses, Ducts, Pins, Signs, Mats, Bit, Pumps, Tables, Tags, Pens, Drill, Gauge, Pans, Cap, Tap</t>
  </si>
  <si>
    <t>Directive 011: Licensee Liability Rating (LLR) Program: Updated Industry Parameters and Liability Costs</t>
  </si>
  <si>
    <t>AB.Dir011</t>
  </si>
  <si>
    <t>https://legislation.nimonikapp.com/legislations/163315/legislation_texts</t>
  </si>
  <si>
    <t>https://static.aer.ca/prd/documents/directives/Directive011_March2015.pdf</t>
  </si>
  <si>
    <t>This Directive sets out industry parameters and abandonment and reclamation costs used in the Licensee Liability Rating Program, which is a liability management program that applies to upstream oil and gas wells, facilities, and pipelines.</t>
  </si>
  <si>
    <t>Regulator, Level, Tubing, Tables, Financial Penalty, Cables, Bin, Mats, Ducts, Pens, Pins, Signs</t>
  </si>
  <si>
    <t>https://legislation.nimonikapp.com/legislations/163316/legislation_texts</t>
  </si>
  <si>
    <t>https://static.aer.ca/prd/documents/directives/Directive068.pdf</t>
  </si>
  <si>
    <t>This Directive concerns the cash and letters of credit provided to the AER to satisfy security deposit requirements, including their form, use, and refund.</t>
  </si>
  <si>
    <t>Telephones, Regulator, Signs, Pipe, Balance, Cables, Financial Penalty, Mats, Sanction, Violation, Criminal Charge, Hose, Ropes, Energy using equipment, Pens, Ducts, Pans, Tables, Chairs</t>
  </si>
  <si>
    <t>https://www.aer.ca/regulating-development/rules-and-directives/directives/directive-068</t>
  </si>
  <si>
    <t>Directive 001: Requirements for Site-Specific Liability Assessments in Support of the ERCB's Liability Management Programs</t>
  </si>
  <si>
    <t>AB.Dir001</t>
  </si>
  <si>
    <t>https://legislation.nimonikapp.com/legislations/163824/legislation_texts</t>
  </si>
  <si>
    <t>https://static.aer.ca/prd/documents/directives/Directive001.pdf</t>
  </si>
  <si>
    <t>This directive sets out requirements for site-specific "liability assessments", which are assessments conducted by licensees or approval holders to estimate the cost to suspend, abandon, or reclaim a site.</t>
  </si>
  <si>
    <t>Tables, Files, Pipe, Vehicle, Berm, Level, Tubing, Pile, Excavator, Bearings, Scales, Tank, Alarms, Insulation, Pumps, Handles, Cables, Regulator, Bin, Presses, Bur, Ducts, Pans, Scale, Gate, Vises, Pins, Racks, Ovens, Signs, Studs, Hose, Plugs, Drill, Balance, Mats, Train, Dams, Ropes, Energy using equipment, Bit, Hobs, Trucks, Financial Penalty, Fittings, Counters, Sanction, Violation, Criminal Charge, Cap, Tags, Pens, Screen, Radio, Chairs</t>
  </si>
  <si>
    <t>The Renewable Diesel Regulations</t>
  </si>
  <si>
    <t>RRScR-19.001Reg1</t>
  </si>
  <si>
    <t>https://canlii.ca/t/8qsk</t>
  </si>
  <si>
    <t>This Regulation governs the distribution and use of renewable diesel fuel through regulating standards and specifications for producers, recordkeeping requirements on the part of the distributor, and the enforcement measures.</t>
  </si>
  <si>
    <t>Hazardous Materials Management, Security and Public Safety</t>
  </si>
  <si>
    <t>https://legislation.nimonikapp.com/legislations/171572/legislation_texts</t>
  </si>
  <si>
    <t>https://canlii.ca/t/84pb</t>
  </si>
  <si>
    <t>This Act defines and governs part 2 and part 3 fuel suppliers. Part 2 fuel suppliers provide gasoline quality renewable fuel that comprises of at least the percentage prescribed for the compliance period, a part 3 fuel supplier must ensure a low carbon content in their product.</t>
  </si>
  <si>
    <t>Environment Management, Hazardous Materials Management, Privacy and Access to Information, Air Emissions and Ambient Air Quality, Equipment, Energy Management, Fines, Penalties and Sanctions</t>
  </si>
  <si>
    <t>Chain, Furnaces, Labels, Files, Level, Cables, Bin, Presses, Ducts, Pans, Gate, Signs, Hose, Oilers, Balance, Mats, Energy using equipment, Bit, Bells, Financial Penalty, Energy efficiency and saving, Sanction, Violation, Criminal Charge, Tables, Tags, Pens, Energy source</t>
  </si>
  <si>
    <t>Renewable and Low Carbon Fuel Requirements Regulation</t>
  </si>
  <si>
    <t>BCReg394/2008</t>
  </si>
  <si>
    <t>https://legislation.nimonikapp.com/legislations/171575/legislation_texts</t>
  </si>
  <si>
    <t>https://canlii.ca/t/8828</t>
  </si>
  <si>
    <t>This Regulation outlines the specific quantities and requirements for part 2 and part 3 fuel suppliers, including laying out the carbon content calculations and how to calculate renewable fuel percentages. Part 2 fuel suppliers provide gasoline quality renewable fuel that comprises of at least the percentage prescribed for the compliance period, a part 3 fuel supplier must ensure a low carbon content in their product.</t>
  </si>
  <si>
    <t>Hazardous Materials Management, Professional Conduct, Quality Management, Environment Management, Air Emissions and Ambient Air Quality, Equipment, Energy Management, Fines, Penalties and Sanctions</t>
  </si>
  <si>
    <t>Cables, Furnaces, Vehicle, Aircraft, Tank, Tables, Labels, Telephones, Motors, Conveyor, Wire, Train, Trolleys, Bin, Presses, Ducts, Pans, Racks, Pins, Signs, Fuse, Pipe, Hose, Oilers, Balance, Mats, Ropes, Energy using equipment, Bit, Bells, Financial Penalty, Energy efficiency and saving, Sanction, Violation, Criminal Charge, Tags, Pens, Energy source, Mill</t>
  </si>
  <si>
    <t>https://legislation.nimonikapp.com/legislations/171576/legislation_texts</t>
  </si>
  <si>
    <t>https://canlii.ca/t/8t9r</t>
  </si>
  <si>
    <t>This Regulation governs facilities that produce liquified natural gas. It covers facility permits, their construction, operating requirements, loss management and recordkeeping.</t>
  </si>
  <si>
    <t>Natural Resource Management, Hazardous Materials Management, Environment Management, Air Emissions and Ambient Air Quality, Land Use, Equipment, Energy Management, Fines, Penalties and Sanctions</t>
  </si>
  <si>
    <t>Tank, Level, Lights, Signs, Handles, Telephones, Pumps, Train, Clothing, Cables, Bin, Presses, Ducts, Mill, Gate, Studs, Hose, Mats, Dams, Ropes, Energy using equipment, Sanction, Violation, Criminal Charge, Cap, Tables, Pens</t>
  </si>
  <si>
    <t>Petroleum and Natural Gas General Regulation</t>
  </si>
  <si>
    <t>BCReg357/98</t>
  </si>
  <si>
    <t>https://legislation.nimonikapp.com/legislations/171585/legislation_texts</t>
  </si>
  <si>
    <t>https://canlii.ca/t/85jj</t>
  </si>
  <si>
    <t>This Regulation encourages efforts initiated by owners of oil and gas interests in any pool to consolidate, merge or otherwise combine their interests for the purpose of accomplishing the more efficient and more economical development and production of the oil and gas resources of the pool, irrespective of whether that purpose is accomplished by unit operation, cooperative development or joint participation.</t>
  </si>
  <si>
    <t>Land Use, Natural Resource Management, Equipment, Fines, Penalties and Sanctions</t>
  </si>
  <si>
    <t>Reservoirs, Signs, Financial Penalty, Bin, Files, Mats, Ducts, Drill, Vises, Presses, Tender</t>
  </si>
  <si>
    <t>The Oil and Gas Tenure Registry Regulations</t>
  </si>
  <si>
    <t>CA-SK-RRScC-50.2Reg31</t>
  </si>
  <si>
    <t>http://canlii.ca/t/8zpp</t>
  </si>
  <si>
    <t>This legislation concerns tenure agreements to give private developers rights to resources owned by the province, notably for petroleum and natural gas, oil sands, oil shale, or helium and associated gases. The legislation implements the Crown minerals electronic registry for oil and gas tenure and includes provisions related to registration, permits, leases, well drilling and exploration commitments, royalties, and fees.</t>
  </si>
  <si>
    <t>Natural Resource Management, Security and Public Safety</t>
  </si>
  <si>
    <t>Energy Supplies Emergency Act</t>
  </si>
  <si>
    <t>RSC1985,cE-9</t>
  </si>
  <si>
    <t>oil_and_gas, water_transportation, rail_transportation</t>
  </si>
  <si>
    <t>http://canlii.ca/t/lgk4</t>
  </si>
  <si>
    <t>This Act provides a means to conserve the supplies of energy within Canada during periods of national emergency caused by shortages or market disturbances affecting the national security and welfare and the economic stability of Canada</t>
  </si>
  <si>
    <t>Loi d'urgence sur les approvisionnements d'énergie</t>
  </si>
  <si>
    <t>LRC1985,cE-9</t>
  </si>
  <si>
    <t>http://canlii.ca/t/q5ng</t>
  </si>
  <si>
    <t>Bulletin 2018-25: Directive 084 Reporting Moving to OneStop</t>
  </si>
  <si>
    <t>CA-AB-AERbulletin2018-25</t>
  </si>
  <si>
    <t>https://www.aer.ca/regulating-development/rules-and-directives/bulletins/bulletin-2018-25</t>
  </si>
  <si>
    <t>Natural Resource Management, Air Emissions and Ambient Air Quality</t>
  </si>
  <si>
    <t>https://legislation.nimonikapp.com/legislations/179776/legislation_texts</t>
  </si>
  <si>
    <t>http://canlii.ca/t/90qn</t>
  </si>
  <si>
    <t>This Act governs the development of petroleum resources, in compliance with the greenhouse gas emission reduction targets set by the Government of Québec. It establishes a licence and authorization system applicable to petroleum exploration, production, and storage. It also provides requirements for holders of drilling authorizations. It also requires that petroleum production and storage projects and pipeline construction or use projects receive a favourable decision from the Régie de l’énergie before being authorized by the government. Lastly, it creates The Energy Transition Fund.</t>
  </si>
  <si>
    <t>Security and Public Safety, Hazardous Materials Management, Environment Management, Natural Resource Management, Water Use and Wastewater Management, Equipment, Fines, Penalties and Sanctions</t>
  </si>
  <si>
    <t>Cables, Regulator, Bur, Ducts, Pans, Vises, Signs, Fuse, Studs, Hose, Reservoirs, Mats, Ropes, Bit, Financial Penalty, Magnet, Sanction, Violation, Criminal Charge, Pens, Drill</t>
  </si>
  <si>
    <t>Loi sur les hydrocarbures</t>
  </si>
  <si>
    <t>CA-QC-RLRQcH-4.2</t>
  </si>
  <si>
    <t>https://legislation.nimonikapp.com/legislations/179777/legislation_texts</t>
  </si>
  <si>
    <t>http://canlii.ca/t/dpv0</t>
  </si>
  <si>
    <t>Cette loi régit le développement et la mise en valeur des hydrocarbures, en conformité avec les cibles de réduction des émissions de gaz à effet de serre établies par le gouvernement du Québec. Elle met notamment en place un régime de licence et d’autorisation applicable à l’exploration, à la production et au stockage d’hydrocarbures. Elle prévoit diverses obligations pour les titulaires d’autorisations de forage. Elle soumet aussi les projets de production et de stockage d’hydrocarbures ainsi que de construction ou d’utilisation d’un pipeline à l’obtention d’une décision favorable de la Régie de l’énergie. Finalement, elle institue le Fonds de transition énergétique.</t>
  </si>
  <si>
    <t>Pipeline Financial Requirements Regulations</t>
  </si>
  <si>
    <t>CA-SOR/2018-142</t>
  </si>
  <si>
    <t>https://legislation.nimonikapp.com/legislations/179778/legislation_texts</t>
  </si>
  <si>
    <t>http://canlii.ca/t/944d</t>
  </si>
  <si>
    <t>This regulation sets absolute limits on the liability arising from an unintended or uncontrolled release of a substance from a pipeline under the National Energy Board Act (RSC1985,cN-7). It also sets requirements concerning the financial resources that must be maintained by a pipeline operator to respond to incidents, and pooled funds as a type of financial resource.</t>
  </si>
  <si>
    <t>Security and Public Safety, Financial Administration, Accounting, Charges, Energy Management, Equipment, Fines, Penalties and Sanctions</t>
  </si>
  <si>
    <t>Telephones, Financial Penalty, Pipe, Cables, Presses, Ducts, Hose, Pans, Cap, Tables, Mill, Energy using equipment, Pens, Gate, Squares</t>
  </si>
  <si>
    <t>Règlement sur les obligations financières relatives aux pipelines</t>
  </si>
  <si>
    <t>CA-DORS/2018-142</t>
  </si>
  <si>
    <t>https://legislation.nimonikapp.com/legislations/179779/legislation_texts</t>
  </si>
  <si>
    <t>http://canlii.ca/t/dt7q</t>
  </si>
  <si>
    <t>Ce règlement met en place une limite de responsabilité absolue pour les déversement non intentionnel ou non contrôlé d’un oléoduc, en vertu de la Loi sur l’Office national de l’énergie (LRC1985,cN-7). Il prévoit aussi des exigences en matière de ressources financières devant être maintenues par l’opérateur d’un oléoduc afin de pouvoir répondre aux possibles incidents, ainsi qu’en matière de fonds communs comme type de ressource financière.</t>
  </si>
  <si>
    <t>Specified Gas Reporting Standard (Version 10.0)</t>
  </si>
  <si>
    <t>CA-AB-SGRS(2018-2)</t>
  </si>
  <si>
    <t>https://legislation.nimonikapp.com/legislations/182038/legislation_texts</t>
  </si>
  <si>
    <t>This Standard has been superceded by the Specified Gas Reporting Standard (Version 11.0) (CA-AB-SGRS(2019)). This Standard details who is required to report specified gas emissions and how the information is collected. Facilities that are subject to reporting requirements under the Specified Gas Reporting Regulation must follow the requirements set out in this Standard. This item has been updated and replaced by the Specified Gas Reporting Standard (Version 11.0) (CA-AB-SGRS(2019)).</t>
  </si>
  <si>
    <t>Air Emissions and Ambient Air Quality, Equipment</t>
  </si>
  <si>
    <t>Reservoirs, Compressors, Level, Tables, Telephones</t>
  </si>
  <si>
    <t>Administrative Penalties Regulation, Oil and Gas Activities Act General Regulation 2018-10-22 Amendments</t>
  </si>
  <si>
    <t>CA-BC-BC.Reg.221/2018</t>
  </si>
  <si>
    <t>http://www.bclaws.ca/civix/document/id/oic/oic_cur/0569_2018</t>
  </si>
  <si>
    <t>Uncategorized</t>
  </si>
  <si>
    <t>BC.Reg.274/2010, BC.Reg.35/2011</t>
  </si>
  <si>
    <t>Pipelines Act, 1998</t>
  </si>
  <si>
    <t>SS1998,cP-12.1</t>
  </si>
  <si>
    <t>https://legislation.nimonikapp.com/legislations/183942/legislation_texts</t>
  </si>
  <si>
    <t>https://www.canlii.org/en/sk/laws/stat/ss-1998-c-p-12.1/latest/ss-1998-c-p-12.1.html</t>
  </si>
  <si>
    <t>Environment Management, Security and Public Safety, Equipment, Energy Management, Fines, Penalties and Sanctions</t>
  </si>
  <si>
    <t>Compressors, Tank, Pumps, Pipe, Racks, Fittings, Files, Lights, Bench, Cables, Bin, Presses, Ducts, Pins, Signs, Fuse, Hose, Level, Mats, Dams, Ropes, Energy using equipment, Bit, Financial Penalty, Sanction, Violation, Criminal Charge, Cap, Tables, Pens, Drill, Magnet</t>
  </si>
  <si>
    <t>Pipelines Regulations, 2000</t>
  </si>
  <si>
    <t>RRScP-12.1Reg1</t>
  </si>
  <si>
    <t>https://legislation.nimonikapp.com/legislations/183972/legislation_texts</t>
  </si>
  <si>
    <t>https://www.canlii.org/en/sk/laws/regu/rrs-c-p-12.1-reg-1/latest/rrs-c-p-12.1-reg-1.html?resultIndex=1</t>
  </si>
  <si>
    <t>Compressors, Tank, Pipe, Valves, Cap, Signs, Telephones, Wire, Presses, Bur, Mats, Pumps, Ducts, Sanction, Violation, Criminal Charge, Hose, Dams, Energy using equipment, Pens, Pins</t>
  </si>
  <si>
    <t>Petroleum and Natural gas Tenure Regulation</t>
  </si>
  <si>
    <t>AltaReg263/1997</t>
  </si>
  <si>
    <t>http://canlii.ca/t/82w6</t>
  </si>
  <si>
    <t>Emergency Management Manual 2018-08-08 Amendments</t>
  </si>
  <si>
    <t>CA-BC-EmergencyManagementManual(2018)</t>
  </si>
  <si>
    <t>https://nimonikapp.com/revising_document_not_available.html</t>
  </si>
  <si>
    <t>https://legislation.nimonikapp.com/legislations/189733/legislation_texts</t>
  </si>
  <si>
    <t>https://static.aer.ca/prd/documents/directives/Directive036.pdf</t>
  </si>
  <si>
    <t>This directive details the minimum equipment and procedure requirements that the licensee must follow when drilling wells in Alberta. It also describes the role of AER field centre inspectors and includes and explains the AER Drilling Inspection Report, which AER field inspectors complete during site inspections. Inspectors can also use this directive as a reference when completing inspection reports.</t>
  </si>
  <si>
    <t>Safety Management, Security and Public Safety, Environment Management, Equipment, Energy Management, Fines, Penalties and Sanctions</t>
  </si>
  <si>
    <t>Clamps, Nuts, Plugs, Studs, Drill, Bolt, Pipe, Tags, Valves, Wrenches, Collar, Floats, Cap, Handles, Hose, Hammers, Tank, Fittings, Racks, Manifolds, Pipe Fittings, Gauges, Pressure Gauges, Cables, Tubing, Pumps, Reservoirs, Bottles, Trucks, Indicators, Pulleys, Recorders, Alarms, Lights, Bearings, Generators, Motors, Hooks, Bells, Enclosures, Doors, Wire, Welders, Shaft, Ultraviolet Lights, Barrier, Regulator, Tables, Boxes, Telephones, Wheels, Hand Wheels, Sockets, Bushings, Level, Mandrels, Vehicle, Clutches, Gearshift, Signs, Torches, Furnaces, Heaters, Train, Lubricators, Files, Ladders, Compasses, Bin, Clutch, Pins, Sand core, Energy using equipment, Bit, Pens, Hoist, Oilers, Counters, Sanction, Violation, Criminal Charge, Gauge, Labels, Safety Cans, Balance, Mats, Ropes, Financial Penalty, Screws, Lamp, Presses, Bur, Ducts, Pans, Mill, Vises, Internal combustion engine, Hoist, Derrick, Dams, Tap, Piston, Actuators</t>
  </si>
  <si>
    <t>Directive 037: Service Rig Inspection Manual</t>
  </si>
  <si>
    <t>AB.Dir037</t>
  </si>
  <si>
    <t>https://legislation.nimonikapp.com/legislations/189734/legislation_texts</t>
  </si>
  <si>
    <t>https://static.aer.ca/prd/documents/directives/Directive037.pdf</t>
  </si>
  <si>
    <t>This manual details the procedures used and items checked by AER staff when inspecting service rigs. It is designed to assist AER employees and others who inspect service rigs and should be used as a reference during inspections.</t>
  </si>
  <si>
    <t>Pipe, Pumps, Drill, Gauges, Cables, Handles, Cap, Tubing, Hose, Valves, Manifolds, Lubricators, Wrenches, Clamps, Collar, Reservoirs, Plugs, Fittings, Tank, Sleeving, Shaft, Sockets, Motors, Vehicle, Ducts, Trucks, Clutches, Bottles, Alarms, Horns, Floats, Tags, Lights, Warning Lights, Heaters, Welders, Torches, Grinders, Screws, Pile, Bolt, Pressure Gauges, Signs, Tables, Hard Hats, Level, Files, Regulator, Gaskets, Boxes, Telephones, Squares, Hooks, Bags, Compressors, Waste Containers, Sorbents, Brushes, Drum, Bin, Generators, Cartridges, Filters, Ladders, Wire, Clutch, Pins, Glass, Energy using equipment, Bit, Carts, Pens, Swivel joint, Pusher, Gate, Studs, Oilers, Thermometer, Counters, Sanction, Violation, Criminal Charge, Radio, Gauge, Nuts, Wipes, Fuse, Balance, Mats, Train, Ropes, Financial Penalty, Launder, Lamp, Presses, Bur, Wheels, Pans, Vises, Internal combustion engine, Derrick, Dams, Safety Cans, Tap, Bearings</t>
  </si>
  <si>
    <t>Directive 080: Well Logging</t>
  </si>
  <si>
    <t>AB.Dir080</t>
  </si>
  <si>
    <t>https://legislation.nimonikapp.com/legislations/189735/legislation_texts</t>
  </si>
  <si>
    <t>https://static.aer.ca/prd/documents/directives/Directive080.pdf</t>
  </si>
  <si>
    <t>This directive sets out the requirements for well logging, but does not change the casing integrity logging requirements set out in Directive 056: Energy Development Applications and Schedules, the wellbore integrity logging requirements set out in Directive 051: Wellbore Injection Requirements, or the cement evaluation logging requirements or plug logging requirements set out in Directive 020: Well Abandonment.</t>
  </si>
  <si>
    <t>Tubing, Reservoirs, Plugs, Regulator, Files, Header, Drill, Bushings, Tags, Cables, Bin, Presses, Wire, Ducts, Pans, Vises, Pins, Signs, Labels, Hose, Mats, Ropes, Bells, Magnet, Counters, Tables, Pens</t>
  </si>
  <si>
    <t>Manual 013: Compliance and Enforcement Program</t>
  </si>
  <si>
    <t>CEP-AB</t>
  </si>
  <si>
    <t>https://legislation.nimonikapp.com/legislations/189736/legislation_texts</t>
  </si>
  <si>
    <t>https://static.aer.ca/prd/documents/manuals/Manual013.pdf</t>
  </si>
  <si>
    <t>Gearshift, Files, Cables, Regulator, Ducts, Pans, Vises, Racks, Pins, Signs, Pipe, Hose, Balance, Mats, Train, Dams, Energy using equipment, Financial Penalty, Sanction, Violation, Criminal Charge, Tables, Tags, Pens, Telephones</t>
  </si>
  <si>
    <t>D-3 Environmental Considerations for Gas or Oil Pipelines and Facilities</t>
  </si>
  <si>
    <t>GECGOPF-ON</t>
  </si>
  <si>
    <t>https://www.ontario.ca/page/d-3-environmental-considerations-gas-or-oil-pipelines-and-facilities</t>
  </si>
  <si>
    <t>This guideline identifies the environmental interests of the Ministry in proposals for new, expanded or upgraded gas or oil pipelines and facilities in Ontario, which proponents have submitted to the Ontario Energy Board (OEB) and/or the National Energy Board (NEB) for approval. It outlines the environmental considerations that the Ministry advises the OEB and/or the NEB to take into account when they give approval togas or oil pipelines and facilities under their jurisdiction.</t>
  </si>
  <si>
    <t>Environment Management, Water Use and Wastewater Management, Waste Management, Air Emissions and Ambient Air Quality, Security and Public Safety, Equipment, Energy Management, Fines, Penalties and Sanctions</t>
  </si>
  <si>
    <t>Compressors, Cables, Bin, Presses, Ducts, Pans, Vises, Pins, Signs, Pipe, Studs, Hose, Mats, Train, Ropes, Energy using equipment, Skip, Bit, Financial Penalty, Pumps, Cap, Tags</t>
  </si>
  <si>
    <t>RSO1990,cD.1</t>
  </si>
  <si>
    <t>Regulations Respecting Reduction in the Release of Methane and Certain Volatile Organic Compounds (Upstream Oil and Gas Sector)</t>
  </si>
  <si>
    <t>SOR/2018-66</t>
  </si>
  <si>
    <t>https://legislation.nimonikapp.com/legislations/189755/legislation_texts</t>
  </si>
  <si>
    <t>http://canlii.ca/t/91jd</t>
  </si>
  <si>
    <t>These regulations contain rules concerning onshore and offshore upstream oil and gas facilities’ release of methane and certain VOCs. They notably set requirements concerning hydrocarbon gas conservation and destruction equipment, well completion involving hydraulic fracturing, compressors, the determination of volumes of gas, venting, leak detection and repair, and pneumatic controllers and pumps. They also impose recordkeeping requirements.</t>
  </si>
  <si>
    <t>Air Emissions and Ambient Air Quality, Equipment, Energy Management</t>
  </si>
  <si>
    <t>Files, Compressors, Pumps, Reservoirs, Controllers, Regulator, Brakes, Bags, Vacuums, Alarms, Desiccants, Valves, Level, Transducers, Tags, Pipe, Telephones, Cables, Bin, Presses, Bur, Ducts, Pans, Nuts, Mill, Pins, Vises, Racks, Signs, Fuse, Hose, Mats, Train, Energy using equipment, Energy efficiency and saving, Cap, Tables, Pens, Drill</t>
  </si>
  <si>
    <t>Règlement sur la réduction des rejets de méthane et de certains composés organiques volatils (secteur du pétrole et du gaz en amont)</t>
  </si>
  <si>
    <t>DORS/2018-66</t>
  </si>
  <si>
    <t>https://legislation.nimonikapp.com/legislations/189756/legislation_texts</t>
  </si>
  <si>
    <t>http://canlii.ca/t/dqmq</t>
  </si>
  <si>
    <t>Ce règlement encadre les rejets de méthane et de certains COVs par les installations pétrolières et gazières en amont. Il prévoit entre autres des exigences concernant les équipements de conservation et de destruction de gaz d’hydrocarbures, la complétion des puits faisant appel à la fracturation hydraulique, les compresseurs, la détermination des volumes des gaz, les limites d’évacuation, la détection et la réparation des fuites et les régulateurs et pompes pneumatiques. Il prévoit aussi des exigences en matière de conservation de documents.</t>
  </si>
  <si>
    <t>Access to Natural Gas Act, 2018</t>
  </si>
  <si>
    <t>CA-ON-SO2018,c15</t>
  </si>
  <si>
    <t>https://www.ola.org/en/legislative-business/bills/parliament-42/session-1/bill-32</t>
  </si>
  <si>
    <t>Gas Resources Preservation Act</t>
  </si>
  <si>
    <t>RSA2000,cG-4</t>
  </si>
  <si>
    <t>https://legislation.nimonikapp.com/legislations/190307/legislation_texts</t>
  </si>
  <si>
    <t>http://canlii.ca/t/824c</t>
  </si>
  <si>
    <t>Cables, Regulator, Ducts, Bench, Pans, Pins, Signs, Pipe, Hose, Reservoirs, Balance, Mats, Train, Ropes, Energy using equipment, Financial Penalty, Sanction, Violation, Criminal Charge, Tables, Pens</t>
  </si>
  <si>
    <t>S-A-01:2017—Criteria for the accreditation of organizations to perform inspections pursuant to the Electricity and Gas Inspection Act and the Weights and Measures Act 2018-11-15 Amendments</t>
  </si>
  <si>
    <t>CA-S-A-01-CA(2018)</t>
  </si>
  <si>
    <t>S-A-01:2017 — Critères d'accréditation des organismes souhaitant effectuer des inspections conformément à la Loi sur l'inspection de l'électricité et du gaz et à la Loi sur les poids et mesures Modifications du 2018-11-15</t>
  </si>
  <si>
    <t>CA-S-A-01-CA(2018).fr</t>
  </si>
  <si>
    <t>Oil and Gas Pipeline Systems Code Adoption Document Amendment</t>
  </si>
  <si>
    <t>CA-OGPCAD-ON(2018)</t>
  </si>
  <si>
    <t>https://legislation.nimonikapp.com/legislations/190895/legislation_texts</t>
  </si>
  <si>
    <t>https://www.tssa.org/en/fuels/resources/Documents/Oil-and-Gas-Pipelines-CAD-Amendment_FIX.pdf</t>
  </si>
  <si>
    <t>Bulletin 2018-37: Requirements Aimed at Reducing Methane Emissions Finalized</t>
  </si>
  <si>
    <t>CA-AB-AERbulletin2018-37</t>
  </si>
  <si>
    <t>https://www.aer.ca/regulating-development/rules-and-directives/bulletins/bulletin-2018-37</t>
  </si>
  <si>
    <t>AB.Dir017, AB.Dir060</t>
  </si>
  <si>
    <t>Manual 015: Estimating Methane Emissions</t>
  </si>
  <si>
    <t>CA-AB-AERMan015</t>
  </si>
  <si>
    <t>https://legislation.nimonikapp.com/legislations/190904/legislation_texts</t>
  </si>
  <si>
    <t>https://static.aer.ca/prd/documents/manuals/Manual015.pdf</t>
  </si>
  <si>
    <t>This Manual contains guidelines for those tasked with quantifying methane emissions as required by Directive 060: Upstream Petroleum Industry Flaring, Incinerating, and Venting (AB.Dir060) and Directive 039: Revised Program to Reduce Benzene Emissions from Glycol Dehydrators (AB.Dir039). It explains how to report vent gas and fugitive emissions to the Alberta Energy Regulator, how to quantify vent gas and fugitive emissions, and the relationship between facility IDs and sites.</t>
  </si>
  <si>
    <t>Desiccants, Cables, Regulator, Bin, Presses, Ducts, Transducers, Pans, Nuts, Pillar, Gate, Pins, Vises, Signs, Pipe, Relay, Tank, Studs, Pile, Hose, Controllers, Oilers, Heaters, Reservoirs, Seats, Furnaces, Level, Loops, Bags, Drill, Balance, Valves, Lights, Mats, Train, Ropes, Energy using equipment, Shaft, Generators, Plungers, Timber, Compressors, Bit, Trucks, Telephones, Financial Penalty, Gauges, Files, Pumps, Energy efficiency and saving, Cap, Screws, Tables, Tags, Piston, Pens, Screen, Gauge</t>
  </si>
  <si>
    <t>Manual 016: How to Develop a Fugitive Emissions Management Program</t>
  </si>
  <si>
    <t>CA-AB-AERMan016</t>
  </si>
  <si>
    <t>https://legislation.nimonikapp.com/legislations/190905/legislation_texts</t>
  </si>
  <si>
    <t>https://static.aer.ca/prd/documents/manuals/Manual016.pdf</t>
  </si>
  <si>
    <t>This Manual is a guide for industry on how to develop fugitive emissions management programs that comply with Directive 060: Upstream Petroleum Industry Flaring, Incinerating, and Venting (AB.Dir060). It clarifies these requirements and includes best practices for managing fugitive emissions, which companies should consider when developing their programs.</t>
  </si>
  <si>
    <t>Regulator, Tables, Tank, Indicators, Plugs, Controllers, Valves, Tags, Wire, Seats, Fittings, Level, Ladders, Heaters, Sprayers, Bottles, Vacuums, Gauges, Aircraft, Vehicle, Scales, Files, Cables, Presses, Ducts, Pans, Scale, Vises, Pins, Racks, Signs, Pipe, Doors, Hose, Oilers, Gauge, Lights, Mats, Train, Dams, Ropes, Energy using equipment, Synchro, Telephones, Financial Penalty, Energy efficiency and saving, Sanction, Violation, Criminal Charge, Cap, Pens, Screen</t>
  </si>
  <si>
    <t>Curtailment Rules</t>
  </si>
  <si>
    <t>CA-AB-AltaReg214/2018</t>
  </si>
  <si>
    <t>https://legislation.nimonikapp.com/legislations/190910/legislation_texts</t>
  </si>
  <si>
    <t>https://canlii.ca/t/9635</t>
  </si>
  <si>
    <t>These rules provide for the mandatory curtailment of raw crude oil and bitumen production. They authorize the Minister of Energy to issue monthly orders specifying production volumes and allocating these production volumes between producers. They include rules concerning how production volumes may be allocated among producers, exemptions for small producers and for operators who are new to production, and provisions for the trading and sharing of production allocations between producers.</t>
  </si>
  <si>
    <t>Signs, Financial Penalty, Bin, Regulator, Mats, Ducts, Hose, Cap, Tags, Bit, Gate, Pins</t>
  </si>
  <si>
    <t>Petroleum Products Pricing Act</t>
  </si>
  <si>
    <t>CA-NS-SNS2005,c11</t>
  </si>
  <si>
    <t>https://legislation.nimonikapp.com/legislations/191157/legislation_texts</t>
  </si>
  <si>
    <t>http://canlii.ca/t/87tt</t>
  </si>
  <si>
    <t>This Act provides for the regulation of fuel prices. It sets limitations on when fuel prices may be changed, and provides for the setting of minimum and maximum prices and markups at wholesale and retail.</t>
  </si>
  <si>
    <t>Financial Penalty, Mats, Ducts, Studs, Sanction, Violation, Criminal Charge, Furnaces</t>
  </si>
  <si>
    <t>Petroleum Products Pricing Regulations</t>
  </si>
  <si>
    <t>CA-NS-NSReg286/2009</t>
  </si>
  <si>
    <t>https://legislation.nimonikapp.com/legislations/191227/legislation_texts</t>
  </si>
  <si>
    <t>http://canlii.ca/t/8md5</t>
  </si>
  <si>
    <t>This Regulation provides for the regulation of fuel prices. It notably provides a framework for retailer-wholesaler relations, and gives the Nova Scotia Utility and Review Board the power to set fixed wholesale prices, maximum retail prices, and minimum and maximum retail mark-ups for fuel. It also notably specifies how carbon prices will be calculated for gasoline and ultra-low-sulfur diesel.</t>
  </si>
  <si>
    <t>Air Emissions and Ambient Air Quality, Financial Administration, Accounting, Charges, Equipment, Fines, Penalties and Sanctions</t>
  </si>
  <si>
    <t>Cables, Regulator, Bin, Presses, Bur, Ducts, Bench, Pans, Gate, Racks, Pins, Signs, Studs, Furnaces, Floats, Aircraft, Mats, Chests, Vehicle, Ropes, Bit, Financial Penalty, Files, Sanction, Violation, Criminal Charge, Cap, Tables, Tags, Pens</t>
  </si>
  <si>
    <t>Drilling and Production Regulation 2018-12-18 Amendments</t>
  </si>
  <si>
    <t>CA-BC-BCReg286/2018</t>
  </si>
  <si>
    <t>http://www.bclaws.ca/civix/document/id/regulationbulletin/regulationbulletin/Reg0286_2018</t>
  </si>
  <si>
    <t>Z246.2-18 - Emergency preparedness and response for petroleum and natural gas industry systems</t>
  </si>
  <si>
    <t>Z246.2-18</t>
  </si>
  <si>
    <t>https://store.csagroup.org/ccrz__ProductDetails?viewState=DetailView&amp;cartID=&amp;sku=Z246.2-18&amp;isCSRFlow=true&amp;portalUser=&amp;store=&amp;cclcl=fr_CA</t>
  </si>
  <si>
    <t>Emergency Preparedness and Response</t>
  </si>
  <si>
    <t>Z246.2-F18 - Préparation et intervention d'urgence pour les installations liées à l'industrie du pétrole et du gaz naturel</t>
  </si>
  <si>
    <t>Z246.2-F18</t>
  </si>
  <si>
    <t>Interim Directive ID 2000-03 - Harmonization of Waste Management and Memorandum of Understanding Between the Alberta Energy and Utilities Board and Alberta Environment</t>
  </si>
  <si>
    <t>HWM-AB</t>
  </si>
  <si>
    <t>https://legislation.nimonikapp.com/legislations/191369/legislation_texts</t>
  </si>
  <si>
    <t>https://static.aer.ca/prd/documents/ids/id2000-03.pdf</t>
  </si>
  <si>
    <t>Level, Generators, Filters, Pipe, Pins, Files, Ladders, Compressors, Composter, Cables, Regulator, Bin, Presses, Bur, Ducts, Pans, Racks, Mops, Signs, Pile, Hose, Mats, Dams, Ropes, Energy using equipment, Financial Penalty, Sanction, Violation, Criminal Charge, Tables, Pens, Drill</t>
  </si>
  <si>
    <t>Environmental Guidelines for the Location, Construction and Operation of Hydrocarbon Pipelines and Facilities in ON (May 2003)</t>
  </si>
  <si>
    <t>GLCOHPF-ON</t>
  </si>
  <si>
    <t>https://legislation.nimonikapp.com/legislations/191384/legislation_texts</t>
  </si>
  <si>
    <t>https://www.oeb.ca/oeb/_Documents/Regulatory/Enviro_Guidelines_HydrocarbonPipelines_2016.pdf</t>
  </si>
  <si>
    <t>Timber, Indicators, Tank, Chisels, Enclosures, Trucks, Generators, Belts, Parallels, Compressors, Barrier, Pile, Mufflers, Reservoirs, Valves, Drill, Hose, Cables, Vehicle, Springs, Water lines, Cabinets, Screen, Pipe, Berm, Pumps, Loops, Sprayers, Boxes, Dams, Plugs, Brushes, Header, Heaters, Compasses, Bin, Pins, Ovens, Level, Lights, Energy using equipment, Bit, Cap, Pens, Regulator, Gate, Signs, Studs, Doors, Oilers, Chairs, Counters, Motors, Sanction, Violation, Criminal Charge, Tags, Nuts, Scale, Fuse, Relay, Sinks, Mats, Flags, Dyke, Train, Ropes, Financial Penalty, Files, Presses, Bur, Ducts, Pans, Mill, Vises, Racks, Scales, Bearings, Tables</t>
  </si>
  <si>
    <t>CA-AB-AltaReg219/2018</t>
  </si>
  <si>
    <t>https://legislation.nimonikapp.com/legislations/193685/legislation_texts</t>
  </si>
  <si>
    <t>http://www.qp.alberta.ca/documents/gazette/2018/pdf/24_Dec31_Part2.pdf</t>
  </si>
  <si>
    <t>Uncategorized, Equipment, Fines, Penalties and Sanctions</t>
  </si>
  <si>
    <t>Regulator, Bin, Presses, Ducts, Pans, Nails, Header, Signs, Boxes, Hose, Desks, Level, Balance, Mats, Bit, Financial Penalty, Filters, Files, Sanction, Violation, Criminal Charge, Tables, Tags, Pens</t>
  </si>
  <si>
    <t>CA-AB-AltaReg248/2018</t>
  </si>
  <si>
    <t>https://legislation.nimonikapp.com/legislations/193692/legislation_texts</t>
  </si>
  <si>
    <t>CA-AB-AltaReg249/2018</t>
  </si>
  <si>
    <t>https://legislation.nimonikapp.com/legislations/193693/legislation_texts</t>
  </si>
  <si>
    <t>Directive 055 Addendum: Interim Requirements for Aboveground Synthetically- Lined Wall Storage Systems, Updates to Liner Requirements, and Optional Diking Requirements for Single-Walled aboveground Storage Tanks</t>
  </si>
  <si>
    <t>AB.Dir055-Addendum</t>
  </si>
  <si>
    <t>https://legislation.nimonikapp.com/legislations/194716/legislation_texts</t>
  </si>
  <si>
    <t>https://static.aer.ca/prd/documents/directives/Directive055_addendum.pdf</t>
  </si>
  <si>
    <t>Hazardous Materials Management, Security and Public Safety, Equipment, Fines, Penalties and Sanctions</t>
  </si>
  <si>
    <t>Vehicle, Reservoirs, Hose, Handles, Berm, Tank, Bearings, Barrier, Manifolds, Trucks, Cables, Regulator, Bin, Presses, Ducts, Pans, Pins, Signs, Drill, Chairs, Mats, Dams, Ropes, Financial Penalty, Counters, Sanction, Violation, Criminal Charge, Cap, Tables, Tags, Pens, Screen</t>
  </si>
  <si>
    <t>https://legislation.nimonikapp.com/legislations/194717/legislation_texts</t>
  </si>
  <si>
    <t>https://static.aer.ca/prd/documents/directives/Directive065.pdf</t>
  </si>
  <si>
    <t>Cap, Reservoirs, Bushings, Screen, Header, Telephones, Handles, Regulator, Level, Files, Tables, Scales, Lights, Compressors, Bench, Drill, Gearshift, Tubes, Boxes, Mops, Indicators, Bearings, Conduits, Tank, Parallels, Gauges, Cables, Compasses, Bin, Sights, Presses, Ducts, Nuts, Pans, Scale, Pillar, Gate, Pins, Vises, Ovens, Signs, Pipe, Studs, Pile, Hose, Balance, Mats, Train, Dams, Ropes, Energy using equipment, Bit, Financial Penalty, Pumps, Sanction, Violation, Criminal Charge, Tags, Pens, Gauge, Tap</t>
  </si>
  <si>
    <t>Interim Directive ID 2003-01 - Isolation Packer Testing, Reporting, and Repair Requirements, Surface Casing Venting Flow/Gas Migration Testing, Reporting, and Repair Requirements, and Casing Failure Reporting and Repair Requirements</t>
  </si>
  <si>
    <t>AB.ID2003-01</t>
  </si>
  <si>
    <t>https://legislation.nimonikapp.com/legislations/194718/legislation_texts</t>
  </si>
  <si>
    <t>https://static.aer.ca/prd/2020-07/id2003-01_0.pdf</t>
  </si>
  <si>
    <t>Hazardous Materials Management, Security and Public Safety, Equipment</t>
  </si>
  <si>
    <t>Tubing, Cap, Ladders, Files, Level</t>
  </si>
  <si>
    <t>Curtailment Rules Amendment Regulation</t>
  </si>
  <si>
    <t>CA-AB-AltaReg268/2018</t>
  </si>
  <si>
    <t>https://legislation.nimonikapp.com/legislations/194941/legislation_texts</t>
  </si>
  <si>
    <t>http://www.qp.alberta.ca/documents/gazette/2019/pdf/01_Jan15_Part2.pdf</t>
  </si>
  <si>
    <t>Cables, Bin, Presses, Pans, Nails, Envelopes, Header, Signs, Boxes, Desks, Davits, Level, Balance, Mats, Bit, Filters, Files, Sanction, Violation, Criminal Charge, Tables, Tags, Pens</t>
  </si>
  <si>
    <t>The Oil and Gas Emissions Management Regulations</t>
  </si>
  <si>
    <t>CA-SK-RSScO-2Reg7</t>
  </si>
  <si>
    <t>https://legislation.nimonikapp.com/legislations/194943/legislation_texts</t>
  </si>
  <si>
    <t>http://canlii.ca/t/966d</t>
  </si>
  <si>
    <t>These regulations establish a regime for limiting greenhouse gas emissions from flaring and venting for upstream oil and gas facilities whose combined potential emissions are greater than 50,000 tonnes of carbon dioxide equivalent per year. They include yearly sector-wide emissions limits starting in 2020, rules concerning when multiple companies will be considered as one entity, emissions measurement, planning, and reporting requirements, formulae for calculating emissions and emissions limits, requirements concerning conservation projects, and measures to ensure compliance.</t>
  </si>
  <si>
    <t>Air Emissions and Ambient Air Quality, Energy Management, Equipment, Fines, Penalties and Sanctions</t>
  </si>
  <si>
    <t>Fuse, Pipe, Financial Penalty, Bin, Presses, Files, Mats, Ducts, Energy efficiency and saving, Sanction, Violation, Criminal Charge, Hose, Cap, Tables, Energy using equipment, Pens</t>
  </si>
  <si>
    <t>https://legislation.nimonikapp.com/legislations/195547/legislation_texts</t>
  </si>
  <si>
    <t>http://canlii.ca/t/965p</t>
  </si>
  <si>
    <t>This regulation sets a maximum amount of sulphur dioxide which may be discharged in a 24-hour time period by certain petroleum facilities, and specifies the method by which sulphur dioxide emissions are to be calculated. It also put in place a notification process in case of non-compliance or emergency discharge. It exempts some facilities from requirements contained in the regulation Air Pollution - Local Air Quality (O.Reg.419/05). Finally, it sets requirements relating to continuous emission monitoring systems, and requires the submission of efficiency reports for sulphur recovery units, acid gas combustion minimisation plans, and sulphur dioxide reduction action plans.</t>
  </si>
  <si>
    <t>Air Emissions and Ambient Air Quality, Water Use and Wastewater Management, Equipment, Energy Management, Fines, Penalties and Sanctions</t>
  </si>
  <si>
    <t>Tank, Nozzles, Pile, Ramp, Drum, Alarms, Cables, Presses, Ducts, Vises, Pins, Signs, Hose, Level, Balance, Mats, Train, Ropes, Energy using equipment, Financial Penalty, Tables, Tags, Pens</t>
  </si>
  <si>
    <t>Revegetation of Active Tailings Dams for Oil Sands Mines</t>
  </si>
  <si>
    <t>CA-AB-GRATD-OSM</t>
  </si>
  <si>
    <t>https://legislation.nimonikapp.com/legislations/197182/legislation_texts</t>
  </si>
  <si>
    <t>https://open.alberta.ca/dataset/283a4de9-030d-4dc9-851c-37f80eab8d42/resource/c26561a7-52d0-4904-a0bd-14f776c44681/download/2011-revegetation-active-tailings-dams-oil-sands-mines-facts-your-fingertips.pdf</t>
  </si>
  <si>
    <t>Cables, Regulator, Sights, Bur, Ducts, Pans, Pins, Signs, Balance, Mats, Dams, Energy using equipment, Financial Penalty, Sanction, Violation, Criminal Charge, Tables, Pens</t>
  </si>
  <si>
    <t>Directive: coal and oil sands exploration reclamation requirements</t>
  </si>
  <si>
    <t>CA-AB-Dir.COSERR</t>
  </si>
  <si>
    <t>https://legislation.nimonikapp.com/legislations/197183/legislation_texts</t>
  </si>
  <si>
    <t>https://open.alberta.ca/dataset/46dbd207-c202-4907-a4f1-4660dc03c2c7/resource/25510b29-240b-4ad1-acbf-24e3c43d1dd5/download/coaloilsandsreclamationreqs-dec02-2015.pdf</t>
  </si>
  <si>
    <t>Signs, Financial Penalty, Cables, Regulator, Mats, Ducts, Sanction, Violation, Criminal Charge, Cap, Canopy, Tables, Tags, Indicators, Pens, Level, Pins</t>
  </si>
  <si>
    <t>https://legislation.nimonikapp.com/legislations/197184/legislation_texts</t>
  </si>
  <si>
    <t>https://static.aer.ca/prd/documents/ids/id2000-04.pdf</t>
  </si>
  <si>
    <t>Waste Management, Equipment</t>
  </si>
  <si>
    <t>Generators, Tables, Level, Ladders, Compressors, Composter</t>
  </si>
  <si>
    <t>https://legislation.nimonikapp.com/legislations/197185/legislation_texts</t>
  </si>
  <si>
    <t>https://static.aer.ca/prd/documents/ids/id99-04.pdf</t>
  </si>
  <si>
    <t>Interim Directive ID 2001-03: Sulphur Recovery Guidelines for the Province of Alberta</t>
  </si>
  <si>
    <t>CA-AB-Dir.2001-03</t>
  </si>
  <si>
    <t>https://legislation.nimonikapp.com/legislations/197186/legislation_texts</t>
  </si>
  <si>
    <t>https://static.aer.ca/prd/documents/ids/id2001-03.pdf</t>
  </si>
  <si>
    <t>Cables, Regulator, Bin, Presses, Bur, Ducts, Pans, Vises, Pins, Signs, Pipe, Hose, Heaters, Reservoirs, Level, Chairs, Balance, Mats, Energy using equipment, Compressors, Timber, Bit, Bells, Telephones, Handles, Financial Penalty, Files, Drum, Energy efficiency and saving, Sanction, Violation, Criminal Charge, Heat Exchangers, Cap, Tables, Tags, Pens</t>
  </si>
  <si>
    <t>Upstream Petroleum Industry Associated Gas Conservation Directive</t>
  </si>
  <si>
    <t>CA-SK-Dir.S-10</t>
  </si>
  <si>
    <t>https://legislation.nimonikapp.com/legislations/197227/legislation_texts</t>
  </si>
  <si>
    <t>http://publications.gov.sk.ca/documents/310/85153-Directive%20S-10%20Saskatchewan%20Upstream%20Petroleum%20Industry%20Associated%20Gas%20Conservation%20Directive%20v.1.pdf</t>
  </si>
  <si>
    <t>https://legislation.nimonikapp.com/legislations/197228/legislation_texts</t>
  </si>
  <si>
    <t>https://publications.saskatchewan.ca/api/v1/products/75523/formats/84453/download</t>
  </si>
  <si>
    <t>Squares, Safety Cans, Alarms, Drum, Header, Valves, Tank, Receptacles, Signs, Level, Dyke, Compressors, Generators, Pumps, Berm, Lights, Cap, Reservoirs, Trucks, Heaters, Cables, Bin, Presses, Ducts, Pans, Nuts, Mill, Gate, Pins, Pipe, Hose, Oilers, Desks, Balance, Mats, Train, Ropes, Energy using equipment, Bit, Financial Penalty, Sanction, Violation, Criminal Charge, Tables, Pens, Drill, Regulator, Bur, Internal combustion engine, Tags</t>
  </si>
  <si>
    <t>https://legislation.nimonikapp.com/legislations/197915/legislation_texts</t>
  </si>
  <si>
    <t>http://canlii.ca/t/7vpk</t>
  </si>
  <si>
    <t>Reservoirs, Scales, Drill, Level, Regulator, Telephones, Pumps, Tank, Compressors, Radio, Racks, Aircraft, Pipe, Fixtures, Helicopters, Files, Lockers, Toilets, Urinals, Vehicle, Clothing, Labels, Chairs, Barricade, Cables, Cap, Sights, Parallels, Mats, Springs, Bin, Presses, Bur, Ducts, Pans, Nuts, Mill, Scale, Gate, Vises, Pins, Ovens, Signs, Fuse, Studs, Pile, Hose, Oilers, Glass, Balance, Lights, Anchors, Train, Dams, Ropes, Energy using equipment, Bit, Handles, Financial Penalty, Counters, Sanction, Violation, Criminal Charge, Tanker, Tables, Tags, Pens</t>
  </si>
  <si>
    <t>https://laws-lois.justice.gc.ca/eng/acts/C-7.8/</t>
  </si>
  <si>
    <t>Loi de mise en oeuvre de l'accord Canada - Nouvelle-Écosse sur les hydrocarbures extracôtiers</t>
  </si>
  <si>
    <t>LC1988,c28</t>
  </si>
  <si>
    <t>https://legislation.nimonikapp.com/legislations/197916/legislation_texts</t>
  </si>
  <si>
    <t>http://canlii.ca/t/cksw</t>
  </si>
  <si>
    <t>Directive 005: Calculating Subsurface Pressure via Fluid-Level Recorders</t>
  </si>
  <si>
    <t>CA-AB.Dir005</t>
  </si>
  <si>
    <t>https://legislation.nimonikapp.com/legislations/197924/legislation_texts</t>
  </si>
  <si>
    <t>https://static.aer.ca/prd/documents/directives/Directive005.pdf</t>
  </si>
  <si>
    <t>Regulator, Presses, Ducts, Recorders, Tables, Level</t>
  </si>
  <si>
    <t>Directive 026: Setback Requirements for Oil Effluent Pipelines</t>
  </si>
  <si>
    <t>CA-AB-Dir.026</t>
  </si>
  <si>
    <t>https://legislation.nimonikapp.com/legislations/197925/legislation_texts</t>
  </si>
  <si>
    <t>https://static.aer.ca/prd/documents/directives/Directive026.pdf</t>
  </si>
  <si>
    <t>Regulator, Conveyance, Bin, Presses, Pans, Mill, Gate, Mops, Signs, Pipe, Tank, Hose, Level, Valves, Ropes, Energy using equipment, Telephones, Financial Penalty, Tables</t>
  </si>
  <si>
    <t>Directive 033: Well Servicing and Completions Operations—Interim Requirement Regarding the Potential for Explosive Mixtures and Ignition in Wells</t>
  </si>
  <si>
    <t>CA-AB-Dir.033</t>
  </si>
  <si>
    <t>https://legislation.nimonikapp.com/legislations/197926/legislation_texts</t>
  </si>
  <si>
    <t>https://static.aer.ca/prd/documents/directives/Directive033.pdf</t>
  </si>
  <si>
    <t>Environment Management, Natural Resource Management, Equipment, Fines, Penalties and Sanctions</t>
  </si>
  <si>
    <t>Regulator, Bin, Presses, Pipe Fittings, Gate, Vises, Pins, Pipe, Tank, Tubing, Lights, Mats, Lubricators, Telephones, Fittings, Tables, Pens, Drill, Cables, Ducts, Pans, Signs, Chairs, Train, Sanction, Violation, Criminal Charge</t>
  </si>
  <si>
    <t>Directive 044: Requirements for the Surveillance, Sampling, and Analysis of Water Production in Oil and Gas Wells Completed Above the Base of Groundwater Protection</t>
  </si>
  <si>
    <t>CA-AB-Dir.044</t>
  </si>
  <si>
    <t>https://legislation.nimonikapp.com/legislations/197927/legislation_texts</t>
  </si>
  <si>
    <t>https://static.aer.ca/prd/2020-10/Directive044.pdf</t>
  </si>
  <si>
    <t>Water Use and Wastewater Management, Natural Resource Management, Equipment, Fines, Penalties and Sanctions</t>
  </si>
  <si>
    <t>Regulator, Bin, Presses, Ducts, Pans, Vises, Pins, Signs, Bottles, Reservoirs, Level, Balance, Mats, Bushings, Trucks, Telephones, Filters, Files, Sanction, Violation, Criminal Charge, Cap, Tables, Pens, Drill, Nails, Header, Boxes, Bit, Tags, Tap</t>
  </si>
  <si>
    <t>Directive 078: Regulatory Application Process for Modifications to Commercial In Situ Oil Sands Projects</t>
  </si>
  <si>
    <t>CA-AB-Dir.078</t>
  </si>
  <si>
    <t>https://legislation.nimonikapp.com/legislations/197928/legislation_texts</t>
  </si>
  <si>
    <t>https://www.aer.ca/documents/directives/Directive078.pdf</t>
  </si>
  <si>
    <t>Canada – Nova Scotia Offshore Marine Installations and Structures Occupational Health and Safety Transitional Regulations</t>
  </si>
  <si>
    <t>CA-SOR/2015-2</t>
  </si>
  <si>
    <t>https://legislation.nimonikapp.com/legislations/197934/legislation_texts</t>
  </si>
  <si>
    <t>https://www.canlii.org/en/ca/laws/regu/sor-2015-2/latest/sor-2015-2.html</t>
  </si>
  <si>
    <t>Occupational Health, Safety Management, Energy Management, Equipment, Fines, Penalties and Sanctions</t>
  </si>
  <si>
    <t>Ladders, Bin, Wire, Tool Boxes, Ladle, Pins, Bolt, Walkway, Conveyor, Ground Fault Circuit Interrupters, Glass, Level, Machine Guards, Crane, Lights, Vehicle, Energy using equipment, Compressors, Jacks, Bit, Bells, Showers, Respirators, Pumps, Barrier, Cap, Alarms, Pens, Drill, Hoist, Mirrors, Conduits, Cables, Dispensers, Gate, Brakes, Signs, Pipe, Helicopters, Drinking Fountains, Doors, Hose, Oilers, Ramp, Chain, Switches, Barricade, Telephones, Handles, Barge, Fittings, Counters, Receptacles, Towels, Sanction, Violation, Criminal Charge, Clothing, Tags, Radio, Lockers, Warning Lights, Extension Cords, Toilets, Machine guard, Nuts, Scale, Squares, Labels, Horns, Enclosures, Floats, Valves, Aircraft, Punches, Mats, Anchors, Train, Scaffolds, Ropes, Timber, Deck, Financial Penalty, Crane, Magnet, Screws, Screen, Tap, Partitions, Presses, Bur, Wheels, Ducts, Bench, Pans, Pipe Fittings, Racks, Internal combustion engine, Tank, Hoist, Boxes, Slings, Seats, Grinders, Bags, Bulkhead, Rivets, Derrick, Belts, Fire Extinguishers, Cage, Trucks, Saws, Footwear, Scales, Ballasts, Tables</t>
  </si>
  <si>
    <t>https://laws-lois.justice.gc.ca/eng/regulations/SOR-2015-2/page-1.html</t>
  </si>
  <si>
    <t>Règlement transitoire sur la santé et la sécurité au travail concernant les ouvrages en mer dans la zone extracôtière Canada – Nouvelle-Écosse</t>
  </si>
  <si>
    <t>DORS/2015-2</t>
  </si>
  <si>
    <t>https://legislation.nimonikapp.com/legislations/197935/legislation_texts</t>
  </si>
  <si>
    <t>http://canlii.ca/t/djr0</t>
  </si>
  <si>
    <t>Canada Oil and Gas Drilling and Production Regulations</t>
  </si>
  <si>
    <t>CA-SOR/2009-315</t>
  </si>
  <si>
    <t>https://legislation.nimonikapp.com/legislations/197936/legislation_texts</t>
  </si>
  <si>
    <t>http://canlii.ca/t/8mn9</t>
  </si>
  <si>
    <t>Environment Management, Safety Management, Equipment, Energy Management, Fines, Penalties and Sanctions</t>
  </si>
  <si>
    <t>Cables, Regulator, Bin, Presses, Bur, Wire, Ducts, Pans, Nuts, Gate, Pins, Signs, Fuse, Tank, Studs, Pile, Hose, Reservoirs, Level, Floats, Tubing, Plugs, Valves, Balance, Bags, Aircraft, Mats, Vehicle, Train, Ropes, Energy using equipment, Bit, Bushings, Handles, Financial Penalty, Files, Counters, Bearings, Barrier, Cap, Tables, Alarms, Pens, Drill, Indicators</t>
  </si>
  <si>
    <t>https://laws-lois.justice.gc.ca/eng/regulations/SOR-2009-315/page-1.html</t>
  </si>
  <si>
    <t>Règlement sur le forage et la production de pétrole et de gaz au Canada</t>
  </si>
  <si>
    <t>DORS/2009-315</t>
  </si>
  <si>
    <t>https://legislation.nimonikapp.com/legislations/197937/legislation_texts</t>
  </si>
  <si>
    <t>http://canlii.ca/t/dbrm</t>
  </si>
  <si>
    <t>Oil and Gas Spills and Debris Liability Regulations</t>
  </si>
  <si>
    <t>CA-SOR/87-331</t>
  </si>
  <si>
    <t>https://legislation.nimonikapp.com/legislations/197938/legislation_texts</t>
  </si>
  <si>
    <t>http://canlii.ca/t/7zrm</t>
  </si>
  <si>
    <t>Financial Penalty, Ducts, Sanction, Violation, Criminal Charge, Mill, Parallels</t>
  </si>
  <si>
    <t>https://laws-lois.justice.gc.ca/eng/regulations/SOR-87-331/page-1.html</t>
  </si>
  <si>
    <t>Règlement sur la responsabilité en matière d'écoulements ou de débris relatifs au pétrole et au gaz</t>
  </si>
  <si>
    <t>DORS/87-331</t>
  </si>
  <si>
    <t>https://legislation.nimonikapp.com/legislations/197939/legislation_texts</t>
  </si>
  <si>
    <t>http://canlii.ca/t/cnvz</t>
  </si>
  <si>
    <t>Canada Oil and Gas Installations Regulations</t>
  </si>
  <si>
    <t>CA-SOR/96-118</t>
  </si>
  <si>
    <t>https://legislation.nimonikapp.com/legislations/197940/legislation_texts</t>
  </si>
  <si>
    <t>https://www.canlii.org/en/ca/laws/regu/sor-96-118/latest/sor-96-118.html?autocompleteStr=Canada%20Oil%20and%20Gas%20Installations%20Reg&amp;autocompletePos=1</t>
  </si>
  <si>
    <t>Environment Management, Safety Management, Energy Management, Equipment, Fines, Penalties and Sanctions</t>
  </si>
  <si>
    <t>Ladders, Bin, Wire, Pins, Bolt, Heaters, Level, Winch, Crane, Lights, Energy using equipment, Compressors, Jacks, Bit, Gauges, Pumps, Pressure Gauges, Cap, Alarms, Pens, Drill, Conduits, Cables, Gate, Brakes, Signs, Pipe, Helicopters, Studs, Doors, Hose, Oilers, Ramp, Chain, Prime mover, Fire hose, Switches, Torches, Generators, Telephones, Handles, Barge, Fittings, Counters, Motors, Sanction, Violation, Criminal Charge, Tags, Radio, Gauge, Lockers, Insulation, Smoke detectors, Welders, Nuts, Hinges, Winches, Enclosures, Floats, Electric Motors, Valves, Mats, Anchors, Train, Ropes, Deck, Financial Penalty, Crane, Drum, Chute, Presses, Bur, Wheels, Ducts, Pans, Fans, Vises, Racks, Manifolds, Internal combustion engine, Tank, Electric motor, Pile, Slings, Fan, Furnaces, Bulkhead, Sprinklers, Derrick, Lifeboat, Belts, Dams, Fire Extinguishers, Bearings, Ballasts, Tables, Indicators</t>
  </si>
  <si>
    <t>https://laws-lois.justice.gc.ca/eng/regulations/SOR-96-118/page-1.html</t>
  </si>
  <si>
    <t>Règlement sur les installations pétrolières et gazières au Canada</t>
  </si>
  <si>
    <t>DORS/96-118</t>
  </si>
  <si>
    <t>http://canlii.ca/t/cpms</t>
  </si>
  <si>
    <t>Carbon Sequestration Tenure Regulation</t>
  </si>
  <si>
    <t>CA-AB-AltaReg68/2011</t>
  </si>
  <si>
    <t>https://legislation.nimonikapp.com/legislations/197942/legislation_texts</t>
  </si>
  <si>
    <t>https://www.canlii.org/en/ab/laws/regu/alta-reg-68-2011/latest/alta-reg-68-2011.html?autocompleteStr=Carbon%20Sequestration%20Tenure%20Regulation&amp;autocompletePos=1</t>
  </si>
  <si>
    <t>Natural Resource Management, Environment Management, Equipment, Fines, Penalties and Sanctions</t>
  </si>
  <si>
    <t>Plugs, Financial Penalty, Regulator, Presses, Mats, Ducts, Hose, Cap, Ropes, Reservoirs, Tables, Drill, Pins</t>
  </si>
  <si>
    <t>http://www.qp.alberta.ca/documents/Regs/2011_068.pdf</t>
  </si>
  <si>
    <t>Petroleum and Natural Gas Drilling Licence and Lease Regulation</t>
  </si>
  <si>
    <t>CA-BC-BCReg10/82</t>
  </si>
  <si>
    <t>https://legislation.nimonikapp.com/legislations/197943/legislation_texts</t>
  </si>
  <si>
    <t>https://www.canlii.org/en/bc/laws/regu/bc-reg-10-82/latest/bc-reg-10-82.html?resultIndex=1</t>
  </si>
  <si>
    <t>Signs, Financial Penalty, Cables, Bin, Ducts, Bearings, Sanction, Violation, Criminal Charge, Hose, Pans, Pens, Drill, Pins</t>
  </si>
  <si>
    <t>http://www.bclaws.ca/Recon/document/ID/freeside/14_10_82</t>
  </si>
  <si>
    <t>Specified Enactment Direction 002: Application Submission Requirements and Guidance for Reclamation Certificates for Well Sites and Associated Facilities</t>
  </si>
  <si>
    <t>CA-AB-Dir.002</t>
  </si>
  <si>
    <t>https://legislation.nimonikapp.com/legislations/197945/legislation_texts</t>
  </si>
  <si>
    <t>https://static.aer.ca/prd/documents/manuals/Direction_002.pdf</t>
  </si>
  <si>
    <t>Tank, Regulator, Level, Files, Indicators, Compressors, Deck, Screen, Switches, Bearings, Boxes, Signs, Brushes, Pile, Tables, Pumps, Scales, Cables, Bin, Presses, Bur, Ducts, Pans, Nuts, Scale, Vises, Pins, Racks, Fuse, Pipe, Hose, Desks, Bags, Drill, Lights, Mats, Flags, Dams, Ropes, Energy using equipment, Bit, Trucks, Telephones, Financial Penalty, Sanction, Violation, Criminal Charge, Cap, Tags, Berm, Pens, Tap</t>
  </si>
  <si>
    <t>Directive 042: Measurement, Accounting, and Reporting Plan (MARP) Requirement for Thermal Bitumen Schemes</t>
  </si>
  <si>
    <t>CA-AB-Dir.042</t>
  </si>
  <si>
    <t>https://legislation.nimonikapp.com/legislations/197946/legislation_texts</t>
  </si>
  <si>
    <t>https://static.aer.ca/prd/documents/directives/Directive042.pdf</t>
  </si>
  <si>
    <t>Environment Management, Natural Resource Management, Equipment, Energy Management</t>
  </si>
  <si>
    <t>Cables, Regulator, Presses, Ducts, Pans, Racks, Header, Signs, Pipe, Tank, Labels, Chairs, Mats, Energy using equipment, Bit, Trucks, Gauges, Cap, Gauge, Telephones</t>
  </si>
  <si>
    <t>https://legislation.nimonikapp.com/legislations/197947/legislation_texts</t>
  </si>
  <si>
    <t>https://static.aer.ca/prd/documents/directives/Directive047.pdf</t>
  </si>
  <si>
    <t>Waste Management, Natural Resource Management, Equipment, Energy Management, Fines, Penalties and Sanctions</t>
  </si>
  <si>
    <t>Tank, Screen, Files, Desks, Sorbents, Trucks, Flags, Tables, Generators, Drill, Pails, Lights, Tubes, Bottles, Ballasts, Brushes, Tubing, Cartridges, Sponges, Filters, Pipe, Boxes, Level, Switches, Telephones, Cables, Regulator, Bin, Presses, Ducts, Radio, Pans, Mill, Vises, Pins, Racks, Signs, Hose, Oilers, Bags, Balance, Chairs, Mats, Train, Energy using equipment, Bit, Financial Penalty, Counters, Carts, Cap, Tags, Pens, Tap</t>
  </si>
  <si>
    <t>https://legislation.nimonikapp.com/legislations/197948/legislation_texts</t>
  </si>
  <si>
    <t>https://static.aer.ca/prd/documents/directives/Directive073.pdf</t>
  </si>
  <si>
    <t>Cables, Alarms, Regulator, Bin, Presses, Bur, Ducts, Pans, Mill, Gate, Pillar, Pins, Thickener, Vises, Squares, Racks, Signs, Pipe, Hard Hats, Tank, Boxes, Doors, Pile, Hose, Sinks, Glass, Level, Plugs, Bags, Valves, Balance, Chairs, Mats, Vehicle, Energy consumption and conservation, Motor vehicle, Dams, Ropes, Energy using equipment, Safety Glasses, Compressors, Jacks, Bit, Trucks, Telephones, Handles, Gauges, Financial Penalty, Fittings, Files, Counters, Motors, Sanction, Violation, Criminal Charge, Barrier, Cap, Tables, Nozzles, Hose Fittings, Pens, Tap, Gauge</t>
  </si>
  <si>
    <t>Directive 023: Guidelines Respecting an Application for a Commercial Crude Bitumen Recovery and Upgrading Project</t>
  </si>
  <si>
    <t>CA-AB-Dir.023</t>
  </si>
  <si>
    <t>https://legislation.nimonikapp.com/legislations/197950/legislation_texts</t>
  </si>
  <si>
    <t>https://www.aer.ca/documents/directives/Directive023.pdf</t>
  </si>
  <si>
    <t>Environment Management, Natural Resource Management</t>
  </si>
  <si>
    <t>Directive 067: Eligibility Requirements for Acquiring and Holding Energy Licencesand Approvals</t>
  </si>
  <si>
    <t>CA-AB-Dir.067</t>
  </si>
  <si>
    <t>https://legislation.nimonikapp.com/legislations/197951/legislation_texts</t>
  </si>
  <si>
    <t>https://static.aer.ca/prd/documents/directives/Directive067.pdf</t>
  </si>
  <si>
    <t>Drill, Regulator, Level, Files, Boxes, Telephones, Signs, Cables, Bin, Ducts, Pans, Pins, Ovens, Fuse, Pipe, Hose, Mats, Dams, Ropes, Energy using equipment, Financial Penalty, Sanction, Violation, Criminal Charge, Cap, Tables, Tags, Davits</t>
  </si>
  <si>
    <t>Indian Oil and Gas Regulations</t>
  </si>
  <si>
    <t>CA-SOR/94-753</t>
  </si>
  <si>
    <t>https://legislation.nimonikapp.com/legislations/197953/legislation_texts</t>
  </si>
  <si>
    <t>https://www.canlii.org/en/ca/laws/regu/sor-94-753/latest/sor-94-753.html?autocompleteStr=Indian%20Oil%20%26%20Gas%20Reg&amp;autocompletePos=1</t>
  </si>
  <si>
    <t>Natural Resource Management, Financial Administration, Accounting, Charges, Environment Management, Equipment, Fines, Penalties and Sanctions</t>
  </si>
  <si>
    <t>Cables, Bin, Presses, Wire, Ducts, Pans, Scale, Gate, Vises, Pins, Signs, Hose, Reservoirs, Davits, Plugs, Lights, Mats, Dams, Ropes, Bit, Scales, Financial Penalty, Magnet, Tender, Sanction, Violation, Criminal Charge, Cap, Tables, Tags, Pens, Drill</t>
  </si>
  <si>
    <t>https://laws-lois.justice.gc.ca/eng/regulations/SOR-94-753/FullText.html</t>
  </si>
  <si>
    <t>Règlement de 1995 sur le pétrole et le gaz des terres indiennes</t>
  </si>
  <si>
    <t>DORS/94-753</t>
  </si>
  <si>
    <t>https://legislation.nimonikapp.com/legislations/197954/legislation_texts</t>
  </si>
  <si>
    <t>http://canlii.ca/t/cpj7</t>
  </si>
  <si>
    <t>Manual 014: Liquid Classification and Well Status Fluid Type Determination for Oil and Gas Wells</t>
  </si>
  <si>
    <t>CA-AB-AERMan014</t>
  </si>
  <si>
    <t>https://legislation.nimonikapp.com/legislations/197955/legislation_texts</t>
  </si>
  <si>
    <t>https://static.aer.ca/prd/documents/manuals/Manual014.pdf</t>
  </si>
  <si>
    <t>Telephones, Signs, Financial Penalty, Regulator, Mats, Ducts, Studs, Ropes, Tables, Mill, Bit, Pens</t>
  </si>
  <si>
    <t>https://legislation.nimonikapp.com/legislations/198652/legislation_texts</t>
  </si>
  <si>
    <t>http://canlii.ca/t/8gzj</t>
  </si>
  <si>
    <t>Conduits, Cables, Bin, Presses, Bur, Ducts, Bench, Pans, Gate, Vises, Pins, Racks, Signs, Fuse, Pipe, Tank, Studs, Hose, Reservoirs, Plugs, Balance, Mats, Vehicle, Train, Dams, Ropes, Energy using equipment, Bit, Financial Penalty, Magnet, Files, Pumps, Sanction, Violation, Criminal Charge, Cap, Tables, Pens, Drill, Radio</t>
  </si>
  <si>
    <t>http://web2.gov.mb.ca/laws/statutes/ccsm/o034e.php</t>
  </si>
  <si>
    <t>https://legislation.nimonikapp.com/legislations/198653/legislation_texts</t>
  </si>
  <si>
    <t>http://canlii.ca/t/87jn</t>
  </si>
  <si>
    <t>Pipe, Tank, Fittings, Cables, Presses, Bur, Ducts, Gate, Vises, Pins, Signs, Oilers, Mats, Train, Dams, Ropes, Energy using equipment, Financial Penalty, Files, Sanction, Violation, Criminal Charge, Cap, Pens, Drill</t>
  </si>
  <si>
    <t>https://nslegislature.ca/sites/default/files/legc/statutes/pipeline.htm</t>
  </si>
  <si>
    <t>https://store.csagroup.org/ccrz__ProductDetails?viewState=DetailView&amp;cartID=&amp;sku=Z245.1-18&amp;isCSRFlow=true&amp;portalUser=&amp;store=&amp;cclcl=pt_BR</t>
  </si>
  <si>
    <t>This Standard covers seamless pipe, electric-welded pipe (flash-welded pipe and low-frequency electric- welded pipe excluded) and submerged-arc-welded pipe primarily intended for use in oil or gas pipeline systems.</t>
  </si>
  <si>
    <t>Safety Management</t>
  </si>
  <si>
    <t xml:space="preserve">Z245.1-18 Tuyaux en Acier
</t>
  </si>
  <si>
    <t>CA-CSAZ245.1-18.fr</t>
  </si>
  <si>
    <t>https://legislation.nimonikapp.com/legislations/439535/legislation_texts</t>
  </si>
  <si>
    <t>https://www.csagroup.org/fr/store/product/Z245.1-18/</t>
  </si>
  <si>
    <t>https://store.csagroup.org/ccrz__ProductDetails?viewState=DetailView&amp;cartID=&amp;sku=Z245.11-17&amp;portalUser=&amp;store=&amp;cclcl=en_US</t>
  </si>
  <si>
    <t>This Standard covers wrought steel buttwelding fittings, including extruded headers and factory-made induction or cold bends, primarily intended for use in oil or gas pipeline systems.</t>
  </si>
  <si>
    <t xml:space="preserve">Z245.11-17 - Raccords en Acier
</t>
  </si>
  <si>
    <t>CA-CSAZ245.11-17.fr</t>
  </si>
  <si>
    <t>https://legislation.nimonikapp.com/legislations/439536/legislation_texts</t>
  </si>
  <si>
    <t>https://www.csagroup.org/fr/store/product/Z245.11-17/</t>
  </si>
  <si>
    <t>https://store.csagroup.org/ccrz__ProductDetails?viewState=DetailView&amp;cartID=&amp;sku=Z245.30-18&amp;portalUser=&amp;store=&amp;cclcl=en_US</t>
  </si>
  <si>
    <t>This Standard covers the qualification, application, inspection, testing, handling, and storage of materials required for coatings applied externally to steel piping in the field or a shop. Coated piping addressed by this Standard is intended primarily for buried or submerged service in oil or gas pipeline systems.</t>
  </si>
  <si>
    <t>CA-CSAZ245.30-F18</t>
  </si>
  <si>
    <t>https://legislation.nimonikapp.com/legislations/405723/legislation_texts</t>
  </si>
  <si>
    <t>https://store.csagroup.org/ccrz__ProductDetails?viewState=DetailView&amp;cartID=&amp;sku=Z245.30-18&amp;portalUser=&amp;store=&amp;cclcl=fr_CA</t>
  </si>
  <si>
    <t>Cette norme couvre la qualification, l'application, l'inspection, les essais, la manipulation et le stockage des matériaux nécessaires aux revêtements appliqués à l'extérieur des tuyauteries en acier sur le terrain ou dans un atelier. Les tuyauteries revêtues visées par cette norme sont principalement destinées au service enterré ou immergé dans les systèmes d'oléoducs ou de gazoducs.</t>
  </si>
  <si>
    <t>Pipeline Regulations (Nova Scotia)</t>
  </si>
  <si>
    <t>NR.Reg.66/98</t>
  </si>
  <si>
    <t>https://legislation.nimonikapp.com/legislations/198657/legislation_texts</t>
  </si>
  <si>
    <t>http://canlii.ca/t/8726</t>
  </si>
  <si>
    <t>Environment Management, Emergency Preparedness and Response, Water Use and Wastewater Management, Natural Resource Management, Security and Public Safety, Equipment, Energy Management, Fines, Penalties and Sanctions</t>
  </si>
  <si>
    <t>Pipe, Sights, Vehicle, Tank, Signs, Alarms, Telephones, Level, Clothing, Files, Pumps, Valves, Compressors, Mill, Cables, Presses, Bur, Ducts, Pans, Gate, Vises, Pins, Hose, Balance, Mats, Train, Dams, Ropes, Energy using equipment, Bit, Financial Penalty, Sanction, Violation, Criminal Charge, Tables, Tags, Pens, Drill, Radio</t>
  </si>
  <si>
    <t>https://novascotia.ca/just/regulations/regs/pipregns.htm</t>
  </si>
  <si>
    <t>https://legislation.nimonikapp.com/legislations/198716/legislation_texts</t>
  </si>
  <si>
    <t>http://canlii.ca/t/9685</t>
  </si>
  <si>
    <t>This regulation contains conditions for the granting and use of authorizations for petroleum exploration, production, and storage in a body of water other than a marine environment. It also contains protective and safety measures that must be implemented and requirements relating to the permanent closure of wells or reservoirs and to site restoration. Lastly, it establishes the fees payable for authorizations, and prohibits fracturing activity in certain circumstances.</t>
  </si>
  <si>
    <t>Hazardous Materials Management, Water Use and Wastewater Management, Safety Management, Emergency Preparedness and Response, General Facility Design and Operation, Environment Management, Natural Resource Management, Equipment, Energy Management, Fines, Penalties and Sanctions</t>
  </si>
  <si>
    <t>Fittings, Valves, Tank, Pipe, Reservoirs, Manifolds, Chain, Plugs, Handles, Tubing, Ducts, Winches, Bit, Tubes, Collets, Bushings, Tables, Drill, Pumps, Files, Ballasts, Gearshift, Radio, Aircraft, Scales, Dams, Compressors, Signs, Deck, Hose, Circuit Breakers, Cables, Filters, Spacers, Level, Telephones, Indicators, Alarms, Barrier, Bags, Drill Bits, Bin, Presses, Bur, Pans, Nuts, Energy source, Mill, Scale, Gate, Vises, Pins, Labels, Studs, Seats, Floats, Winch, Derrick, Lights, Mats, Anchors, Train, Ropes, Energy using equipment, Jacks, Bells, Magnet, Financial Penalty, Counters, Sanction, Violation, Criminal Charge, Cap, Tags, Pens</t>
  </si>
  <si>
    <t>Règlement sur les activités d'exploration, de production et de stockage d'hydrocarbures en milieu hydrique</t>
  </si>
  <si>
    <t>CA-QC-RLRQcH-4.2,r1</t>
  </si>
  <si>
    <t>https://legislation.nimonikapp.com/legislations/198717/legislation_texts</t>
  </si>
  <si>
    <t>http://canlii.ca/t/dwch</t>
  </si>
  <si>
    <t>Ce règlement contient les conditions d’octroi et d’exercice des autorisations requises pour les activités d’exploration, de production et de stockage d’hydrocarbures en milieu hydrique, à l’exception du milieu marin. Il prévoit aussi les mesures de protection et de sécurité qui doivent être mises en place et les exigences concernant la fermeture définitive de puits ou de réservoir et la restauration de sites. Finalement, détermine les droits exigibles pour les autorisations et interdit les activités de fracturation dans certaines circonstances.</t>
  </si>
  <si>
    <t>https://legislation.nimonikapp.com/legislations/198718/legislation_texts</t>
  </si>
  <si>
    <t>http://canlii.ca/t/9686</t>
  </si>
  <si>
    <t>This regulation sets the conditions for the granting and use of authorizations for petroleum exploration, production, and storage on land. It also contains protective and safety measures that must be implemented and provides for requirements relating to the permanent closure of wells or reservoirs and to site restoration. It also contains conditions for the granting and use of an authorization to produce brine. Lastly, it establishes the fees payable for authorizations, and prohibits fracturing and development activities for petroleum resources on land in certain circumstances.</t>
  </si>
  <si>
    <t>Hazardous Materials Management, Water Use and Wastewater Management, Safety Management, Emergency Preparedness and Response, Natural Resource Management, General Facility Design and Operation, Security and Public Safety, Environment Management, Occupational Health, Equipment, Energy Management, Fines, Penalties and Sanctions</t>
  </si>
  <si>
    <t>Horns, Plugs, Pipe, Reservoirs, Manifolds, Chain, Handles, Valves, Tubing, Ducts, Winches, Bit, Tubes, Collets, Bushings, Tables, Drill, Pumps, Files, Vehicle, Gearshift, Scales, Helicopters, Aircraft, Signs, Dams, Tank, Markers, Indicators, Wire, Level, Filters, Spacers, Cables, Telephones, Alarms, Barrier, Bags, Drill Bits, Gate, Bin, Presses, Bur, Pans, Nuts, Mill, Scale, Vises, Pins, Labels, Studs, Hose, Winch, Derrick, Lights, Mats, Anchors, Train, Ropes, Energy using equipment, Jacks, Trucks, Bells, Magnet, Financial Penalty, Counters, Motors, Sanction, Violation, Criminal Charge, Cap, Tags, Pens, Energy source</t>
  </si>
  <si>
    <t>Règlement sur les activités d'exploration, de production et de stockage d'hydrocarbures en milieu terrestre</t>
  </si>
  <si>
    <t>CA-QC-RLRQcH-4.2,r2</t>
  </si>
  <si>
    <t>https://legislation.nimonikapp.com/legislations/198719/legislation_texts</t>
  </si>
  <si>
    <t>http://canlii.ca/t/dwcj</t>
  </si>
  <si>
    <t>Ce règlement contient les conditions d’octroi et d’exercice des autorisations requises pour les activités d’exploration, de production et de stockage d’hydrocarbures en milieu terrestre. Il prévoit aussi les mesures de protection et de sécurité qui doivent être mises en place et les exigences concernant la fermeture définitive de puits ou de réservoir et de restauration de site. Il prévoit également les conditions d’octroi et d’exercice spécifiques à l’autorisation d’exploiter de la saumure. Finalement, détermine les droits exigibles pour les autorisations et interdit les activités de fracturation dans certaines circonstances.</t>
  </si>
  <si>
    <t>Railway and Pipeline Corporations Valuation Regulation</t>
  </si>
  <si>
    <t>BCReg203/86</t>
  </si>
  <si>
    <t>oil_and_gas, rail_transportation</t>
  </si>
  <si>
    <t>https://legislation.nimonikapp.com/legislations/198729/legislation_texts</t>
  </si>
  <si>
    <t>https://www.canlii.org/en/bc/laws/regu/bc-reg-203-86/latest/bc-reg-203-86.html</t>
  </si>
  <si>
    <t>Gauges, Pipe, Racks, Sanction, Violation, Criminal Charge, Energy using equipment, Mill, Parallels, Pens, Vises, Gauge</t>
  </si>
  <si>
    <t>RSBC1996,c20</t>
  </si>
  <si>
    <t>Code for Electrical Installations at Oil and Gas Facilities - Fifth Edition October 2015</t>
  </si>
  <si>
    <t>CA-AB-CEIOGF</t>
  </si>
  <si>
    <t>http://www.qp.alberta.ca/570.cfm?frm_isbn=9780779788613&amp;search_by=link</t>
  </si>
  <si>
    <t>This Code has been discontinued. It applied to electrical installations used in the search, transmission, or production of oil, natural gas and related hydrocarbons. It did not apply to electrical installations used in: petroleum refineries, petrochemical facilities, gas distribution systems operated by a gas utility at a pressure of 700 kPa or less for the purpose of distributing gas to consumers in all or part of a municipality, fuel supply systems for equipment.</t>
  </si>
  <si>
    <t>Natural Resource Management, General Facility Design and Operation</t>
  </si>
  <si>
    <t>Z245.12-17 - Steel flanges</t>
  </si>
  <si>
    <t>CA-CSAZ245.12-17</t>
  </si>
  <si>
    <t>https://store.csagroup.org/ccrz__ProductDetails?viewState=DetailView&amp;cartID=&amp;portalUser=&amp;store=&amp;cclcl=en_US&amp;sku=Z245.12-17</t>
  </si>
  <si>
    <t>This Standard covers wrought steel welding neck and blind flanges primarily intended for use in oil or gas pipeline systems.</t>
  </si>
  <si>
    <t>Z245.12-17 Brides en Acier</t>
  </si>
  <si>
    <t>CA-CSAZ245.12-17.fr</t>
  </si>
  <si>
    <t>https://legislation.nimonikapp.com/legislations/439537/legislation_texts</t>
  </si>
  <si>
    <t>https://www.csagroup.org/fr/store/product/Z245.12-17/</t>
  </si>
  <si>
    <t>https://store.csagroup.org/ccrz__ProductDetails?viewState=DetailView&amp;cartID=&amp;portalUser=&amp;store=&amp;cclcl=en_US&amp;sku=Z245.15-17</t>
  </si>
  <si>
    <t>This Standard covers steel valves primarily intended for use in oil or gas pipeline systems.</t>
  </si>
  <si>
    <t>Z245.15-17 Vannes en acier</t>
  </si>
  <si>
    <t>CA-CSAZ245.15-17.fr</t>
  </si>
  <si>
    <t>https://legislation.nimonikapp.com/legislations/439538/legislation_texts</t>
  </si>
  <si>
    <t>https://www.csagroup.org/fr/store/product/Z245.15-17/</t>
  </si>
  <si>
    <t>https://legislation.nimonikapp.com/legislations/198962/legislation_texts</t>
  </si>
  <si>
    <t>http://canlii.ca/t/9687</t>
  </si>
  <si>
    <t>This regulation sets the terms and conditions for the granting and use of licenses for petroleum exploration, production and storage. It also contains conditions for the granting and use of a pipeline construction or use authorization. It lists the documents and information that must be provided for a petroleum production or storage project or a pipeline construction or use project. In addition, it specifies the amount for which an authorization holder could be liable under the strict liability for injuries resulting from the holder’s activities.</t>
  </si>
  <si>
    <t>Natural Resource Management, Safety Management, Emergency Preparedness and Response, General Facility Design and Operation, Environment Management, Hazardous Materials Management, Security and Public Safety, Financial Administration, Accounting, Charges, Equipment, Energy Management, Fines, Penalties and Sanctions</t>
  </si>
  <si>
    <t>Reservoirs, Pipe, Drill, Files, Scales, Bearings, Level, Handles, Signs, Cables, Bin, Presses, Bur, Ducts, Pans, Nuts, Mill, Scale, Vises, Pins, Squares, Fuse, Studs, Hose, Mats, Train, Dams, Ropes, Energy using equipment, Bit, Financial Penalty, Tender, Counters, Pumps, Sanction, Violation, Criminal Charge, Cap, Tables, Tags, Pens</t>
  </si>
  <si>
    <t>Règlement sur les licences d'exploration, de production et de stockage d'hydrocarbures et sur l'autorisation de construction ou d'utilisation d'un pipeline</t>
  </si>
  <si>
    <t>CA-QC-RLRQcH-4.2,r3</t>
  </si>
  <si>
    <t>https://legislation.nimonikapp.com/legislations/198963/legislation_texts</t>
  </si>
  <si>
    <t>http://canlii.ca/t/dwck</t>
  </si>
  <si>
    <t>Ce règlement fixe les modalités relatives à la mise aux enchères ainsi que les conditions pour l’attribution d’une licence d’exploration, de production et de stockage d’hydrocarbures en plus d’en déterminer les conditions d’exercice. Il prévoit aussi les conditions d’octroi et d’exercice d’une autorisation de construction ou d’utilisation d’un oléoduc. Il détermine les documents et les renseignements devant être transmis dans le cadre d’un projet de production ou de stockage d’hydrocarbures ou d’un projet de construction ou d’utilisation d’un oléoduc. De plus, ce règlement établit le montant jusqu’à concurrence duquel le titulaire d’une autorisation est tenu, sans égard à la faute, de réparer le préjudice causé par le fait ou à l’occasion de ses activités, en fonction du milieu où est situé son projet.</t>
  </si>
  <si>
    <t>Offshore Petroleum Financial Requirements Regulations</t>
  </si>
  <si>
    <t>CA-NL-NLR7/16</t>
  </si>
  <si>
    <t>https://legislation.nimonikapp.com/legislations/202392/legislation_texts</t>
  </si>
  <si>
    <t>http://canlii.ca/t/8wns</t>
  </si>
  <si>
    <t>These Regulations contain requirements concerning the provision of proof of financial responsibility by applicants for licences and authorizations under the Canada-Newfoundland and Labrador Atlantic Accord Implementation Newfoundland and Labrador Act (RSNL1990,cC-2).</t>
  </si>
  <si>
    <t>Natural Gas Royalty Regulation</t>
  </si>
  <si>
    <t>CA-AB-AltaReg221/2008</t>
  </si>
  <si>
    <t>https://legislation.nimonikapp.com/legislations/202396/legislation_texts</t>
  </si>
  <si>
    <t>http://canlii.ca/t/83xm</t>
  </si>
  <si>
    <t>This regulation is made under the Mines and Minerals Act and applies to royalty on natural gas, natural gas products, field condensate and solution gas obtained on or after January 1, 2009 until December 31, 2026 from wells drilled prior to January 1, 2017. The regulation specifies the calculation of the Crown royalty share of natural gas, natural gas products and solution gas production from lands subject to a Crown lease agreement.</t>
  </si>
  <si>
    <t>Reservoirs, Regulator, Compressors, Tables, Gate, Bushings, Squares, Cap, Cables, Bin, Presses, Ducts, Pans, Pins, Signs, Fuse, Pipe, Hose, Balance, Lights, Mats, Energy using equipment, Bit, Financial Penalty, Files, Sanction, Violation, Criminal Charge, Tags, Pens, Drill</t>
  </si>
  <si>
    <t>http://www.qp.alberta.ca/1266.cfm?page=2008_221.cfm&amp;leg_type=Regs&amp;isbncln=9780779807239&amp;display=html</t>
  </si>
  <si>
    <t>http://www.qp.alberta.ca/1266.cfm?page=2008_221.cfm&amp;leg_type=Regs&amp;isbncln=9780779807239</t>
  </si>
  <si>
    <t>CA-AB-AltaReg211/2016</t>
  </si>
  <si>
    <t>http://canlii.ca/t/8zs4</t>
  </si>
  <si>
    <t>This regulation is made under the Mines and Minerals Act and applies to royalty on natural gas, natural gas products, field condensate and solution gas obtained from a new well or other qualified wells on or after January 1, 2017, and on or after July 13, 2016 if the well has been approved as an opted in well. The regulation will also apply to all natural gas, natural gas products, field condensate, and solution gas production on or after January 1, 2027. The regulation specifies the calculation of the Crown royalty share of natural gas, natural gas products and solution gas production from lands subject to a Crown lease agreement.</t>
  </si>
  <si>
    <t>http://www.qp.alberta.ca/1266.cfm?page=2016_211.cfm&amp;leg_type=Regs&amp;isbncln=9780779807246&amp;display=html</t>
  </si>
  <si>
    <t>http://www.qp.alberta.ca/1266.cfm?page=2016_211.cfm&amp;leg_type=Regs&amp;isbncln=9780779807246</t>
  </si>
  <si>
    <t>CSA B139 SERIES:19 - Installation code for oil-burning equipment</t>
  </si>
  <si>
    <t>CA-B139SERIES-19</t>
  </si>
  <si>
    <t>general, oil_and_gas, building_management_and_maintenance</t>
  </si>
  <si>
    <t>https://legislation.nimonikapp.com/legislations/202779/legislation_texts</t>
  </si>
  <si>
    <t>https://store.csagroup.org/ccrz__ProductDetails?viewState=DetailView&amp;cartID=&amp;portalUser=&amp;store=&amp;cclcl=en_US&amp;sku=2702055</t>
  </si>
  <si>
    <t>These guidelines establish minimum requirements for installing oil-burning appliances, equipment and components in multi-unit residential, commercial, institutional, and industrial buildings. The new edition includes new requirements and clarifications.</t>
  </si>
  <si>
    <t>Security and Public Safety, Safety Management, Equipment, Energy Management, Fines, Penalties and Sanctions</t>
  </si>
  <si>
    <t>Bin, Presses, Bur, Tubes, Ducts, Pans, Vises, Pins, Hoist, Signs, Internal combustion engine, Pipe, Tank, Hoist, Doors, Oilers, Heaters, Ramp, Furnaces, Melting Pots, Level, Loops, Tubing, Mats, Vehicle, Torches, Ropes, Energy using equipment, Shaft, Sill, Fill pipe, Compressors, Bit, Financial Penalty, Filters, Pumps, Oil Filters, Cap, Tables, Pens, Lamp</t>
  </si>
  <si>
    <t>B139SERIES-15</t>
  </si>
  <si>
    <t>CSA B139 SÉRIE:F19 - Installation code for oil-burning equipment</t>
  </si>
  <si>
    <t>CA-B139SÉRIE-F19</t>
  </si>
  <si>
    <t>https://legislation.nimonikapp.com/legislations/202780/legislation_texts</t>
  </si>
  <si>
    <t>https://store.csagroup.org/ccrz__ProductDetails?viewState=DetailView&amp;cartID=&amp;portalUser=&amp;store=&amp;cclcl=fr_CA&amp;sku=2702055</t>
  </si>
  <si>
    <t>Ce code définit les exigences minimales en matière d'installation d'appareils, d'appareillages et de composants de combustion au mazout. La nouvelle édition comprend également de nouvelles normes et apporte des clarifications à certaines normes existantes.</t>
  </si>
  <si>
    <t>B139SÉRIE-F15</t>
  </si>
  <si>
    <t>Asphalt Plant Regulation</t>
  </si>
  <si>
    <t>CA-BC-BCReg217/97</t>
  </si>
  <si>
    <t>https://legislation.nimonikapp.com/legislations/205251/legislation_texts</t>
  </si>
  <si>
    <t>http://canlii.ca/t/852m</t>
  </si>
  <si>
    <t>Environment Management, Safety Management, Equipment, Fines, Penalties and Sanctions</t>
  </si>
  <si>
    <t>Cables, Bin, Presses, Bur, Ducts, Pans, Nuts, Mill, Dryers, Gate, Squares, Signs, Hose, Heaters, Level, Lights, Mats, Train, Ropes, Bit, Financial Penalty, Sanction, Violation, Criminal Charge, Cap, Tables, Tags, Pens</t>
  </si>
  <si>
    <t>Offshore Health and Safety Act</t>
  </si>
  <si>
    <t>CA-SC2014,c13</t>
  </si>
  <si>
    <t>http://canlii.ca/t/52m3g</t>
  </si>
  <si>
    <t>Occupational Health, Safety Management, Hazardous Materials Management</t>
  </si>
  <si>
    <t>Loi sur la santé et la sécurité dans la zone extracôtière</t>
  </si>
  <si>
    <t>CA-LC2014,ch13</t>
  </si>
  <si>
    <t>https://legislation.nimonikapp.com/legislations/206630/legislation_texts</t>
  </si>
  <si>
    <t>http://canlii.ca/t/69n6s</t>
  </si>
  <si>
    <t>Pipeline Safety Act</t>
  </si>
  <si>
    <t>CA-SC2015,c21</t>
  </si>
  <si>
    <t>https://legislation.nimonikapp.com/legislations/206631/legislation_texts</t>
  </si>
  <si>
    <t>http://canlii.ca/t/52m2j</t>
  </si>
  <si>
    <t>Safety Management, Environment Management, Equipment, Energy Management, Fines, Penalties and Sanctions</t>
  </si>
  <si>
    <t>Cables, Bin, Bur, Ducts, Pans, Mill, Gate, Vises, Pins, Signs, Fuse, Pipe, Studs, Hose, Chairs, Mats, Vehicle, Dams, Ropes, Energy using equipment, Bit, Financial Penalty, Sanction, Violation, Criminal Charge, Cap, Tables, Tags, Pens</t>
  </si>
  <si>
    <t>Loi sur la sûreté des pipelines</t>
  </si>
  <si>
    <t>CA-LC2015,ch21</t>
  </si>
  <si>
    <t>https://legislation.nimonikapp.com/legislations/206632/legislation_texts</t>
  </si>
  <si>
    <t>http://canlii.ca/t/69n5v</t>
  </si>
  <si>
    <t>Energy Safety and Security Act</t>
  </si>
  <si>
    <t>CA-SC2015,c4</t>
  </si>
  <si>
    <t>https://legislation.nimonikapp.com/legislations/206633/legislation_texts</t>
  </si>
  <si>
    <t>http://canlii.ca/t/52m36</t>
  </si>
  <si>
    <t>Cables, Regulator, Bin, Presses, Bur, Ducts, Pans, Mill, Gate, Vises, Pins, Signs, Fuse, Pipe, Studs, Hose, Chain, Level, Chairs, Balance, Aircraft, Mats, Vehicle, Flags, Dams, Ropes, Energy using equipment, Bit, Financial Penalty, Files, Sanction, Violation, Criminal Charge, Cap, Tables, Tags, Pens, Drill, Radio</t>
  </si>
  <si>
    <t>Loi sur la sûreté et la sécurité en matière énergétique</t>
  </si>
  <si>
    <t>CA-LC2015,ch4</t>
  </si>
  <si>
    <t>http://canlii.ca/t/69n6j</t>
  </si>
  <si>
    <t>First Nations Oil and Gas and Moneys Management Act</t>
  </si>
  <si>
    <t>CA-SC2005,c48</t>
  </si>
  <si>
    <t>http://canlii.ca/t/7w0c</t>
  </si>
  <si>
    <t>Loi sur la gestion du pétrole et du gaz et des fonds des Premières Nations</t>
  </si>
  <si>
    <t>CA-LC2005,ch48</t>
  </si>
  <si>
    <t>http://canlii.ca/t/cl3p</t>
  </si>
  <si>
    <t>Canada Oil and Gas Diving Regulations</t>
  </si>
  <si>
    <t>CA-SOR/88-600</t>
  </si>
  <si>
    <t>https://legislation.nimonikapp.com/legislations/206651/legislation_texts</t>
  </si>
  <si>
    <t>http://canlii.ca/t/7zw5</t>
  </si>
  <si>
    <t>Springs, Conduits, Cables, Presses, Wire, Ducts, Depth Gauges, Pans, Nuts, Gate, Vises, Hoist, Pins, Signs, Gears, Bottles, Tank, Labels, Hoist, Doors, Hose, Ramp, Lamp, Reservoirs, Winches, Lifting device, Prime mover, Level, Winch, Valves, Crane, Aircraft, Lights, Mats, Switches, Train, Dams, Ropes, Energy using equipment, Skip, Bit, Bells, Telephones, Financial Penalty, Crane, Gauges, Fittings, Counters, Pumps, Clamps, Sanction, Violation, Criminal Charge, Cap, Tables, Tags, Alarms, Pens, Drill, Tap, Gauge</t>
  </si>
  <si>
    <t>Règlement sur les opérations de plongée liées aux activités pétrolières et gazières au Canada</t>
  </si>
  <si>
    <t>CA-DORS/88-600</t>
  </si>
  <si>
    <t>https://legislation.nimonikapp.com/legislations/206652/legislation_texts</t>
  </si>
  <si>
    <t>http://canlii.ca/t/cp0h</t>
  </si>
  <si>
    <t>First Nations Oil and Gas Environmental Assessment Regulations</t>
  </si>
  <si>
    <t>CA-SOR/2007-272</t>
  </si>
  <si>
    <t>https://legislation.nimonikapp.com/legislations/206653/legislation_texts</t>
  </si>
  <si>
    <t>http://canlii.ca/t/7z7l</t>
  </si>
  <si>
    <t>Cables, Bin, Ducts, Pans, Gate, Pins, Signs, Pipe, Studs, Hose, Drill, Mats, Dams, Energy using equipment, Bit, Files, Sanction, Violation, Criminal Charge, Cap, Tags, Pens, Screen</t>
  </si>
  <si>
    <t>Règlement sur l'évaluation environnementale liée au pétrole et au gaz des premières Nations</t>
  </si>
  <si>
    <t>CA-DORS/2007-272</t>
  </si>
  <si>
    <t>https://legislation.nimonikapp.com/legislations/206654/legislation_texts</t>
  </si>
  <si>
    <t>http://canlii.ca/t/cnbx</t>
  </si>
  <si>
    <t>Canada Oil and Gas Geophysical Operations Regulations</t>
  </si>
  <si>
    <t>CA-SOR/96-117</t>
  </si>
  <si>
    <t>https://legislation.nimonikapp.com/legislations/206655/legislation_texts</t>
  </si>
  <si>
    <t>http://canlii.ca/t/80jf</t>
  </si>
  <si>
    <t>Occupational Health, Emergency Preparedness and Response, Hazardous Materials Management, Land Use, Safety Management, Environment Management, Equipment, Energy Management, Fines, Penalties and Sanctions</t>
  </si>
  <si>
    <t>Cartridges, Cables, Detonator, Electrode, Presses, Bur, Wire, Ducts, Pans, Gate, Vises, Pins, Racks, Manifolds, Signs, Fuse, Pipe, Tank, Helicopters, Studs, Lagging, Hose, Circuit Breakers, Seats, Chain, Level, Plugs, Energy source, Valves, Lights, Aircraft, Mats, Vehicle, Flags, Anchors, Train, Belts, Dams, Ropes, Energy using equipment, Compressors, Fire Extinguishers, Bit, Telephones, Deck, Handles, Magnet, Financial Penalty, Fittings, Blaster, Files, Counters, Carts, Sanction, Violation, Criminal Charge, Clothing, Cap, Ballasts, Tables, Pens, Drill, Radio</t>
  </si>
  <si>
    <t>Règlement sur les études géophysiques liées à la recherche du pétrole et du gaz au Canada</t>
  </si>
  <si>
    <t>CA-DORS/96-117</t>
  </si>
  <si>
    <t>https://legislation.nimonikapp.com/legislations/206656/legislation_texts</t>
  </si>
  <si>
    <t>http://canlii.ca/t/cpmr</t>
  </si>
  <si>
    <t>Energy Conservation Equipment Exemption Regulations</t>
  </si>
  <si>
    <t>CA-CRC,c590</t>
  </si>
  <si>
    <t>https://legislation.nimonikapp.com/legislations/206659/legislation_texts</t>
  </si>
  <si>
    <t>http://canlii.ca/t/7wh1</t>
  </si>
  <si>
    <t>Environment Management, Equipment, Energy Management</t>
  </si>
  <si>
    <t>Insulation, Wheels, Ducts, Loading dock, Energy consumption and conservation, Pins, Signs, Pipe, Tank, Doors, Oilers, Mats, Vehicle, Motor vehicle, Energy using equipment, Generators, Pumps, Motors</t>
  </si>
  <si>
    <t>Règlement de désignation de matériel pour économiser l'énergie</t>
  </si>
  <si>
    <t>CA-CRC,ch590</t>
  </si>
  <si>
    <t>https://legislation.nimonikapp.com/legislations/206660/legislation_texts</t>
  </si>
  <si>
    <t>http://canlii.ca/t/cllc</t>
  </si>
  <si>
    <t>Northern Pipeline Socio-Economic and Environmental Terms and Conditions for Northern British Columbia</t>
  </si>
  <si>
    <t>CA-SI/81-22</t>
  </si>
  <si>
    <t>https://legislation.nimonikapp.com/legislations/206661/legislation_texts</t>
  </si>
  <si>
    <t>http://canlii.ca/t/7x1s</t>
  </si>
  <si>
    <t>Security and Public Safety, Safety Management, Occupational Health, Wildlife and Land Conservation, Environment Management, Water Use and Wastewater Management, Air Emissions and Ambient Air Quality, Waste Management, Equipment, Energy Management, Fines, Penalties and Sanctions</t>
  </si>
  <si>
    <t>Cables, Regulator, Presses, Bur, Ducts, Pans, Gate, Vises, Pins, Signs, Fire suppression, Pipe, Tank, Studs, Pile, Hose, Level, Bags, Valves, Aircraft, Mats, Vehicle, Dyke, Train, Dams, Ropes, Energy using equipment, Timber, Compressors, Screen, Bit, Financial Penalty, Fittings, Files, Drum, Bearings, Sanction, Violation, Criminal Charge, Barrier, Cap, Ballasts, Knives, Tables, Tags, Pens, Springs</t>
  </si>
  <si>
    <t>Modalités socio-économiques et écologiques régissant le pipe-line du Nord dans le nord de la Colombie-Britannique</t>
  </si>
  <si>
    <t>CA-TR/81-22</t>
  </si>
  <si>
    <t>https://legislation.nimonikapp.com/legislations/206662/legislation_texts</t>
  </si>
  <si>
    <t>http://canlii.ca/t/cm54</t>
  </si>
  <si>
    <t>Northern Pipeline Socio-Economic and Environmental Terms and Conditions for the Province of Alberta</t>
  </si>
  <si>
    <t>CA-SI/80-127</t>
  </si>
  <si>
    <t>https://legislation.nimonikapp.com/legislations/206663/legislation_texts</t>
  </si>
  <si>
    <t>http://canlii.ca/t/7x1f</t>
  </si>
  <si>
    <t>Security and Public Safety, Safety Management, Land Use, Environment Management, Air Emissions and Ambient Air Quality, Wildlife and Land Conservation, Water Use and Wastewater Management, Hazardous Materials Management, Equipment, Energy Management, Fines, Penalties and Sanctions</t>
  </si>
  <si>
    <t>Cables, Presses, Bur, Ducts, Pans, Gate, Vises, Pins, Signs, Fire suppression, Pipe, Tank, Studs, Hose, Level, Bags, Aircraft, Mats, Vehicle, Dyke, Train, Belts, Dams, Ropes, Energy using equipment, Compressors, Timber, Bit, Deck, Handles, Financial Penalty, Files, Drum, Bearings, Sanction, Violation, Criminal Charge, Cap, Ballasts, Knives, Tables, Tags, Pens</t>
  </si>
  <si>
    <t>Modalités socio-économiques et écologiques régissant le pipe-line du Nord en Alberta</t>
  </si>
  <si>
    <t>CA-TR/80-127</t>
  </si>
  <si>
    <t>https://legislation.nimonikapp.com/legislations/206664/legislation_texts</t>
  </si>
  <si>
    <t>http://canlii.ca/t/cm4r</t>
  </si>
  <si>
    <t>Nova Scotia Offshore Area Petroleum Diving Regulations</t>
  </si>
  <si>
    <t>CA-SOR/95-189</t>
  </si>
  <si>
    <t>https://legislation.nimonikapp.com/legislations/206665/legislation_texts</t>
  </si>
  <si>
    <t>http://canlii.ca/t/80fl</t>
  </si>
  <si>
    <t>Occupational Health, Safety Management</t>
  </si>
  <si>
    <t>Règlement sur les opérations de plongée liées aux activités pétrolières et gazières de la zone extracôtière de la Nouvelle-Écosse</t>
  </si>
  <si>
    <t>CA-DORS/95-189</t>
  </si>
  <si>
    <t>https://legislation.nimonikapp.com/legislations/206666/legislation_texts</t>
  </si>
  <si>
    <t>http://canlii.ca/t/cpjx</t>
  </si>
  <si>
    <t>Northern Pipeline Socio-Economic and Environmental Terms and Conditions for Southern British Columbia</t>
  </si>
  <si>
    <t>CA-SI/80-128</t>
  </si>
  <si>
    <t>https://legislation.nimonikapp.com/legislations/206667/legislation_texts</t>
  </si>
  <si>
    <t>http://canlii.ca/t/7x1g</t>
  </si>
  <si>
    <t>Security and Public Safety, Safety Management, Environment Management, Occupational Health, Land Use, Water Use and Wastewater Management, Air Emissions and Ambient Air Quality, Wildlife and Land Conservation, Equipment, Energy Management, Fines, Penalties and Sanctions</t>
  </si>
  <si>
    <t>Cables, Presses, Bur, Ducts, Pans, Gate, Vises, Pins, Signs, Fire suppression, Pipe, Tank, Studs, Pile, Hose, Parallels, Level, Bags, Aircraft, Mats, Vehicle, Dyke, Train, Dams, Ropes, Energy using equipment, Compressors, Timber, Bit, Financial Penalty, Files, Drum, Bearings, Sanction, Violation, Criminal Charge, Barrier, Cap, Ballasts, Knives, Tables, Tags, Pens, Screen</t>
  </si>
  <si>
    <t>Modalités socio-économiques et écologiques régissant le pipe-line du Nord dans le sud de la Colombie-Britannique</t>
  </si>
  <si>
    <t>CA-TR/80-128</t>
  </si>
  <si>
    <t>https://legislation.nimonikapp.com/legislations/206668/legislation_texts</t>
  </si>
  <si>
    <t>http://canlii.ca/t/cm4s</t>
  </si>
  <si>
    <t>Northern Pipeline Socio-Economic and Environmental Terms and Conditions for the Province of Saskatchewan</t>
  </si>
  <si>
    <t>CA-SI/81-23</t>
  </si>
  <si>
    <t>https://legislation.nimonikapp.com/legislations/206669/legislation_texts</t>
  </si>
  <si>
    <t>http://canlii.ca/t/7x1t</t>
  </si>
  <si>
    <t>Security and Public Safety, Safety Management, Emergency Preparedness and Response, Land Use, Air Emissions and Ambient Air Quality, Environment Management, Water Use and Wastewater Management, Wildlife and Land Conservation, Equipment, Energy Management, Fines, Penalties and Sanctions</t>
  </si>
  <si>
    <t>Cables, Presses, Bur, Ducts, Pans, Gate, Vises, Pins, Signs, Fire suppression, Pipe, Tank, Studs, Hose, Level, Bags, Aircraft, Mats, Vehicle, Dyke, Train, Belts, Dams, Ropes, Energy using equipment, Compressors, Bit, Handles, Financial Penalty, Files, Drum, Sanction, Violation, Criminal Charge, Cap, Ballasts, Knives, Tags, Pens</t>
  </si>
  <si>
    <t>Modalités socio-économiques et écologiques régissant le pipe-line en Saskatchewan</t>
  </si>
  <si>
    <t>CA-TR/81-23</t>
  </si>
  <si>
    <t>https://legislation.nimonikapp.com/legislations/206670/legislation_texts</t>
  </si>
  <si>
    <t>http://canlii.ca/t/cm55</t>
  </si>
  <si>
    <t>Northern Pipeline Socio-Economic and Environmental Terms and Conditions for the Swift River Portion of the Pipeline in the Province of British Columbia</t>
  </si>
  <si>
    <t>CA-SI/81-21</t>
  </si>
  <si>
    <t>https://legislation.nimonikapp.com/legislations/206671/legislation_texts</t>
  </si>
  <si>
    <t>http://canlii.ca/t/7x1r</t>
  </si>
  <si>
    <t>Cables, Regulator, Presses, Bur, Ducts, Pans, Gate, Vises, Pins, Signs, Pipe, Tank, Studs, Pile, Hose, Level, Bags, Aircraft, Mats, Vehicle, Dyke, Train, Dams, Ropes, Energy using equipment, Compressors, Timber, Screen, Bit, Financial Penalty, Files, Drum, Bearings, Sanction, Violation, Criminal Charge, Barrier, Cap, Ballasts, Knives, Tables, Pens, Springs</t>
  </si>
  <si>
    <t>Modalités socio-économiques et écologiques régissant le tronçon du pipe-line du Nord longeant la rivière Swift en Colombie-Britannique</t>
  </si>
  <si>
    <t>CA-TR/81-21</t>
  </si>
  <si>
    <t>https://legislation.nimonikapp.com/legislations/206672/legislation_texts</t>
  </si>
  <si>
    <t>http://canlii.ca/t/cm53</t>
  </si>
  <si>
    <t>Dormancy and Shutdown Regulation</t>
  </si>
  <si>
    <t>CA-BC-BCReg112/2019</t>
  </si>
  <si>
    <t>https://legislation.nimonikapp.com/legislations/210251/legislation_texts</t>
  </si>
  <si>
    <t>https://www.canlii.org/en/bc/laws/regu/bc-reg-112-2019/latest/bc-reg-112-2019.html?resultIndex=1</t>
  </si>
  <si>
    <t>This Regulation concerns the decommissioning, assessment, remediation, restoration, and shutdown of oil and gas wells. It notably defines "dormant" sites and establishes a classification system for them. It includes requirements, criteria, standards, and timelines for the decommissioning, assessment, remediation, and restoration of dormant sites, as well as planning, reporting, and notification requirements for permit holders with dormant sites in their portfolio. It specifies which types of permit holders are eligible to submit a liability reduction plan, how to apply, and what this plan should contain. Finally, it sets out shutdown requirements for well permit holders whose permit has been cancelled, declared spent, or expired.</t>
  </si>
  <si>
    <t>Drill, Telephones, Plugs, Signs, Cables, Mats, Ducts, Hose, Gate, Tags, Pens, Racks, Pipe, Nuts, Cap, Energy using equipment, Bin</t>
  </si>
  <si>
    <t>Environmental Response Regulations</t>
  </si>
  <si>
    <t>CA-Vol.152,No.51</t>
  </si>
  <si>
    <t>Proposed</t>
  </si>
  <si>
    <t>https://legislation.nimonikapp.com/legislations/210952/legislation_texts</t>
  </si>
  <si>
    <t>http://gazette.gc.ca/rp-pr/p1/2018/2018-12-22/html/reg8-eng.html</t>
  </si>
  <si>
    <t>The principal objective of the proposed Regulations is to improve the effectiveness of Canada’s Oil Spill Preparedness and Response Regime for prescribed vessels and oil handling facilities (OHFs) while transferring oil to and from vessels. Enhanced prevention and planning activities by the OHFs, in conjunction with increased compliance and enforcement by Transport Canada, provides a state of readiness.</t>
  </si>
  <si>
    <t>Conduits, Cargo vessel, Cables, Regulator, Bin, Sights, Presses, Compasses, Ducts, Nuts, Mill, Scale, Gate, Vises, Pins, Signs, Pipe, Tank, Hose, Sinks, Level, Lights, Mats, Train, Dams, Ropes, Energy using equipment, Scales, Telephones, Financial Penalty, Sanction, Violation, Criminal Charge, Tanker, Cap, Tables, Pens, Springs</t>
  </si>
  <si>
    <t>Règlement sur l’intervention environnementale</t>
  </si>
  <si>
    <t>CA-Vol.152,No.51.fr</t>
  </si>
  <si>
    <t>https://legislation.nimonikapp.com/legislations/210953/legislation_texts</t>
  </si>
  <si>
    <t>http://gazette.gc.ca/rp-pr/p1/2018/2018-12-22/html/reg8-fra.html</t>
  </si>
  <si>
    <t>Order Declaring that the Provisions of the Regulations Respecting Reduction in the Release of Methane and Certain Volatile Organic Compounds (Upstream Oil and Gas Sector) Do Not Apply in British Columbia</t>
  </si>
  <si>
    <t>CA-Vol.153,No.24(2701)</t>
  </si>
  <si>
    <t>https://legislation.nimonikapp.com/legislations/211647/legislation_texts</t>
  </si>
  <si>
    <t>http://www.gazette.gc.ca/rp-pr/p1/2019/2019-06-15/html/reg5-eng.html</t>
  </si>
  <si>
    <t>Federal rules concerning the reduction of fugitive and venting emissions of methane and volatile organic compounds from the upstream oil and gas sector may soon cease to apply in British Columbia. This change would be based on a determination that British Columbia has similar rules with comparable environmental outcomes.
This change would affect the application of the Regulations Respecting Reduction in the Release of Methane and Certain Volatile Organic Compounds (Upstream Oil and Gas Sector) (SOR/2018-66). Comments will be accepted until August 5, 2019.</t>
  </si>
  <si>
    <t>Décret déclarant que le Règlement sur la réduction des rejets de méthane et de certains composés organiques volatils (secteur du pétrole et du gaz en amont) ne s’applique pas dans la province de la Colombie-Britannique</t>
  </si>
  <si>
    <t>CA-Vol.153,No.24(2701).fr</t>
  </si>
  <si>
    <t>https://legislation.nimonikapp.com/legislations/211648/legislation_texts</t>
  </si>
  <si>
    <t>http://www.gazette.gc.ca/rp-pr/p1/2019/2019-06-15/html/reg5-fra.html</t>
  </si>
  <si>
    <t>Les mesures de contrôle visant à réduire les émissions fugitives et les émissions d’évacuation de méthane et de composés organiques volatils du secteur pétrolier et gazier en amont pourraient bientôt cesser de s'appliquer en Colombie Britannique. Ce changement serait basé sur le fait que la Colombie Britannique a mis en place des mesures avec des résultats environnementaux équivalents.
Ce changement aurait pour effet de changer l'application du Règlement sur la réduction des rejets de méthane et de certains composés organiques volatils (secteur du pétrole et du gaz en amont) (DORS/2018-66). Les personnes intéressées sont invitées à soumettre des commentaires d’ici le 5 aôut 2019.</t>
  </si>
  <si>
    <t>Investigations Regulation</t>
  </si>
  <si>
    <t>CA-BC-BCReg134/2019</t>
  </si>
  <si>
    <t>https://legislation.nimonikapp.com/legislations/212159/legislation_texts</t>
  </si>
  <si>
    <t>http://canlii.ca/t/984f</t>
  </si>
  <si>
    <t>This Regulation prescribes sections of the Drilling and Production Regulation (BC.Reg.282/2010) whose contravention individuals may apply to the BC Oil and Gas Commission to have investigated, and sets out related requirements for the Commission.</t>
  </si>
  <si>
    <t>Drill, Ducts, Signs</t>
  </si>
  <si>
    <t>http://www.bclaws.ca/civix/document/id/complete/statreg/134_2019/search/CIVIX_DOCUMENT_ROOT_STEM:("134/2019")?1#hit1</t>
  </si>
  <si>
    <t>https://legislation.nimonikapp.com/legislations/213495/legislation_texts</t>
  </si>
  <si>
    <t>https://www.bcogc.ca/node/8283/download</t>
  </si>
  <si>
    <t>This Measurement Guideline for Upstream Oil and Gas Operations has been prepared by the Commission to provide
regulatory guidance regarding a permit holder’s measurement obligations under section 53 of the Drilling and
Production Regulation, B.C. Reg. 282/2010.</t>
  </si>
  <si>
    <t>Occupational Health, Natural Resource Management, Waste Management, Water Use and Wastewater Management, Safety Management, Security and Public Safety, Equipment, Energy Management, Fines, Penalties and Sanctions</t>
  </si>
  <si>
    <t>Pumps, Gauges, Compressors, Plungers, Pump jacks, Header, Tap, Tank, Valves, Trucks, Jacks, Pressure Gauges, Labels, Tags, Fittings, Alarms, Recorders, Pens, Pipe, Lights, Shaft, Tubes, Insulation, Counters, Nozzles, Vacuums, Conduits, Wedge, Manifolds, Strainers, Squares, Clocks, Flags, Timers, Controllers, Reservoirs, Hooks, Bearings, Heaters, Tubing, Cables, Telephones, Loops, Bench, Enclosures, Mixers, Pressure Boosters, Sights, Indicators, Thermocouples, Level, Regulator, Tables, Motors, Scales, Transducers, Piston, Files, Train, Boxes, Signs, Helicopters, Glass, Mirrors, Bags, Racks, Handles, Vehicle, Markers, Drum, Railroad, Drill, Cap, Thermoelectric generators, Generators, Furnaces, Parallels, Compasses, Bin, Mixer, Pins, Ovens, Energy using equipment, Bit, Cable Ties, Gate, Hose, Oilers, Jars, Thermometer, Sanction, Violation, Criminal Charge, Gauge, Nuts, Scale, Fuse, Floats, Balance, Mats, Ropes, Financial Penalty, Magnet, Energy source, Presses, Ducts, Pans, Mill, Vises, Plugs, Dams, Energy efficiency and saving, Bur</t>
  </si>
  <si>
    <t>https://legislation.nimonikapp.com/legislations/213501/legislation_texts</t>
  </si>
  <si>
    <t>https://www.bcogc.ca/node/5916/download</t>
  </si>
  <si>
    <t>The Flaring and Venting Reduction Guideline (the Guideline) provides regulatory requirements and guidance for flaring, incinerating and venting in British Columbia, as well as procedural information for flare approval requests, dispersion modelling and the measurement and reporting of flared, incinerated and vented gas. The Guideline applies to the flaring, incineration and venting of natural gas at wellsites, facilities and pipelines regulated under the Oil and Gas Activities Act (OGAA).</t>
  </si>
  <si>
    <t>Environment Management, Air Emissions and Ambient Air Quality, Natural Resource Management, Safety Management, Security and Public Safety, Equipment, Energy Management, Fines, Penalties and Sanctions, Professional Conduct, Quality Management</t>
  </si>
  <si>
    <t>Tank, Alarms, Drum, Level, Tables, Scales, Compressors, Cap, Reservoirs, Files, Telephones, Safety Cans, Header, Valves, Pumps, Controllers, Lights, Generators, Thermoelectric generators, Heaters, Furnaces, Tags, Switches, Laser diodes, Mirrors, Power generators, Mechanical Seals, Wire, Seats, Barrier, Actuators, Pipe, Piston, Wheels, Transducers, Manifolds, Regulator, Shaft, Cables, Bin, Presses, Bur, Ducts, Pans, Nuts, Scale, Gate, Vises, Pins, Signs, Hose, Drill, Balance, Mats, Flags, Train, Ropes, Energy using equipment, Trucks, Financial Penalty, Energy efficiency and saving, Sanction, Violation, Criminal Charge, Pens, Screen, Racks, Doors, Bit, Counters</t>
  </si>
  <si>
    <t>Directive PNG032: Volumetric, Valuation and Infrastructure Reporting in Petrinex</t>
  </si>
  <si>
    <t>CA-SK-Dir.PNG032</t>
  </si>
  <si>
    <t>https://legislation.nimonikapp.com/legislations/213502/legislation_texts</t>
  </si>
  <si>
    <t>https://nimonikapp.com/document_not_available.html</t>
  </si>
  <si>
    <t>Petrinex is a joint strategic organization supporting Canada’s upstream, midstream and downstream petroleum industry and is currently represented by the Government. This Directive descripes the volumetric, valuation and infrastructure reporting in petrinex.</t>
  </si>
  <si>
    <t>Natural Resource Management, Waste Management, Equipment, Energy Management, Fines, Penalties and Sanctions</t>
  </si>
  <si>
    <t>Screen, Flags, Boxes, Level, Files, Telephones, Tables, Indicators, Bearings, Drill, Lights, Compressors, Pumps, Mill, Tank, Reservoirs, Trucks, Desks, Enclosures, Handles, Valves, Generators, Pails, Tubes, Bottles, Ballasts, Brushes, Tubing, Desiccants, Cartridges, Sponges, Filters, Pipe, Cables, Regulator, Bin, Presses, Ducts, Radio, Pans, Gate, Vises, Pins, Header, Racks, Signs, Energy consumption and conservation, Hose, Oilers, Bags, Balance, Mats, Train, Energy using equipment, Bit, Financial Penalty, Counters, Carts, Sanction, Violation, Criminal Charge, Cap, Tags, Pens, Tap</t>
  </si>
  <si>
    <t>https://legislation.nimonikapp.com/legislations/213503/legislation_texts</t>
  </si>
  <si>
    <t>https://publications.saskatchewan.ca/api/v1/products/105418/formats/117680/download</t>
  </si>
  <si>
    <t>Directive PNG017 - Measurement Requirements for Oil and Gas Operations consolidates, clarifies, and updates the Regulatory requirements with respect to measurement points used for accounting and reporting purposes, as well as those measurement points required for upstream petroleum facilities and some downstream pipeline operations under existing regulations. The term measurement as used in this document means measurement, accounting, and reporting. While measurement is the determination of a volume, accounting and reporting are integral components of measurement in that after a fluid volume is measured, mathematical procedures (accounting) may have to be employed to arrive at the desired volume to be reported.</t>
  </si>
  <si>
    <t>Natural Resource Management, Safety Management, Waste Management, Equipment, Financial Administration, Accounting, Charges, Environment Management, Hazardous Materials Management, Chemicals Management, General Facility Design and Operation, Water Use and Wastewater Management, Energy Management, Fines, Penalties and Sanctions</t>
  </si>
  <si>
    <t>Pumps, Gauges, Compressors, Plungers, Tap, Header, Tank, Valves, Trucks, Pressure Gauges, Labels, Tags, Fittings, Alarms, Recorders, Pens, Pipe, Bench, Lights, Controllers, Tubes, Conduits, Nozzles, Wedge, Insulation, Timers, Counters, Squares, Clocks, Reservoirs, Tubing, Boxes, Pressure Boosters, Mixers, Manifolds, Enclosures, Fuel Cans, Floats, Generators, Loops, Strainers, Thermocouples, Pump jacks, Jacks, Regulator, Level, Vehicle, Scales, Transducers, Files, Gate, Tables, Flags, Heaters, Desiccants, Train, Hooks, Mirrors, Bags, Glass, Handles, Indicators, Markers, Drum, Railroad, Signs, Telephones, Cap, Scaler, Shaft, Piston, Racks, Bearings, Flowmeters, Microprocessors, Drill, Cables, Jars, Scale, Gauge, Thermometer, Balance, Mixer, Thermistor, Thermoelectric generators, Furnaces, Bin, Wire, Pins, Ovens, Energy using equipment, Bit, Filters, Hose, Oilers, Sanction, Violation, Criminal Charge, Radio, Nuts, Fuse, Mats, Ropes, Financial Penalty, Magnet, Energy source, Presses, Bur, Ducts, Pans, Mill, Vises, Plugs, Dams, Synchro</t>
  </si>
  <si>
    <t>https://publications.saskatchewan.ca/#/products/105418</t>
  </si>
  <si>
    <t>Oil Tanker Moratorium Act</t>
  </si>
  <si>
    <t>CA-SC2019,c26</t>
  </si>
  <si>
    <t>https://legislation.nimonikapp.com/legislations/213509/legislation_texts</t>
  </si>
  <si>
    <t>http://canlii.ca/t/9hfx</t>
  </si>
  <si>
    <t>This Act prohibits certain oil tankers from stopping or unloading at ports or marine installations located along British Columbia’s north coast if they carry more than a certain quantity of crude oil or persistent oil as cargo. It also prohibits the loading of oil tankers at those installations, if it results in them having more than this certain quantity of crude oil or persistent oil as cargo. It also sets some reporting requirements prior to a stop at the designated ports or marine installations.</t>
  </si>
  <si>
    <t>Hazardous Materials Management, Water Use and Wastewater Management, Equipment, Energy Management, Fines, Penalties and Sanctions</t>
  </si>
  <si>
    <t>Anchors, Vacuums, Bin, Presses, Bur, Ducts, Pans, Pins, Signs, Fuse, Tank, Hose, Mats, Ropes, Energy using equipment, Bit, Financial Penalty, Sanction, Violation, Criminal Charge, Tanker, Cap, Tables, Pens, Racks, Mill</t>
  </si>
  <si>
    <t>https://www.parl.ca/DocumentViewer/en/42-1/bill/C-48/royal-assent</t>
  </si>
  <si>
    <t>Loi sur le moratoire relatif aux pétroliers</t>
  </si>
  <si>
    <t>CA-LC2019,c26</t>
  </si>
  <si>
    <t>https://legislation.nimonikapp.com/legislations/213510/legislation_texts</t>
  </si>
  <si>
    <t>http://canlii.ca/t/f6k8</t>
  </si>
  <si>
    <t>Cette loi interdit à certains pétroliers de s’arrêter ou de se décharger dans les ports ou aux installations maritimes situés le long de la côte nord de la Colombie-Britannique s’ils transportent une quantité de pétrole brut ou d’hydrocarbures persistants supérieure à la quantité prévue par la loi. Elle interdit aussi le chargement de pétroliers qui auraient pour effet de leur donner une cargaison de pétrole brut ou d’hydrocarbures persistants qui serait supérieure à cette quantité. Elle prévoit aussi des exigences en matière de renseignement, préalables à tout arrêt dans les ports ou installations maritimes concernées.</t>
  </si>
  <si>
    <t>https://www.parl.ca/DocumentViewer/fr/42-1/projet-loi/C-48/sanction-royal</t>
  </si>
  <si>
    <t>oil_and_gas, utilities_and_communications, mining_and_minerals_industry</t>
  </si>
  <si>
    <t>https://legislation.nimonikapp.com/legislations/213513/legislation_texts</t>
  </si>
  <si>
    <t>http://canlii.ca/t/9hfm</t>
  </si>
  <si>
    <t>This Act establishes the Canadian Energy Regulator, who regulates the exploitation, development and transportation of energy within the federal jurisdiction. It notably sets the rules concerning the safety and security of persons, energy facilities and abandoned facilities and the protection of property and the environment. It also sets rules and requirements relating to pipelines, international and certain interprovincial power lines, access to federal lands, and to renewable energy projects and power lines in Canada’s offshore. Finally, it regulates the exportation of oil, gas and electricity and the interprovincial oil and gas trade.</t>
  </si>
  <si>
    <t>Environment Management, Hazardous Materials Management, Natural Resource Management, Land Use, Equipment, Energy Management, Fines, Penalties and Sanctions</t>
  </si>
  <si>
    <t>Vehicle, Regulator, Aircraft, Compressors, Tank, Pumps, Reservoirs, Trucks, Wire, Racks, Reference Books, Files, Lights, Scales, Pipe, Cables, Bin, Presses, Bur, Ducts, Pans, Nuts, Scale, Gate, Vises, Pins, Energy consumption and conservation, Signs, Fuse, Studs, Hose, Chairs, Balance, Mats, Dams, Ropes, Energy using equipment, Bit, Financial Penalty, Tender, Sanction, Violation, Criminal Charge, Tanker, Cap, Tables, Tags, Pens, Drill, Energy source</t>
  </si>
  <si>
    <t>https://www.parl.ca/DocumentViewer/en/42-1/bill/C-69/royal-assent</t>
  </si>
  <si>
    <t>Loi sur la Régie canadienne de l’énergie</t>
  </si>
  <si>
    <t>CA-LC2019,c28,a10</t>
  </si>
  <si>
    <t>http://canlii.ca/t/f6jz</t>
  </si>
  <si>
    <t>Cette loi constitue la Régie canadienne de l’énergie, qui est responsable de régir l’exploitation, le développement et le transport de produits énergétiques qui relèvent de la compétence fédérale. Elle prévoit entre autres des règles concernant la sécurité des personnes, la sûreté et la sécurité des installations énergétiques et des installations abandonnées et la protection des biens et de l’environnement. Elle prévoit aussi des normes encadrant les oléoducs, les lignes internationales et certaines lignes provinciales de transport d’électricité, l’accès aux terres fédérales et les projets d’énergie renouvelable et de lignes de transport d’électricité se trouvant dans la zone extracôtière canadienne. Finalement, elle encadre l’exportation du pétrole, du gaz et de l’électricité ainsi que le marché interprovincial du pétrole et du gaz.</t>
  </si>
  <si>
    <t>https://www.parl.ca/DocumentViewer/fr/42-1/projet-loi/C-69/sanction-royal</t>
  </si>
  <si>
    <t>CA-SOR/2019-196</t>
  </si>
  <si>
    <t>https://legislation.nimonikapp.com/legislations/213535/legislation_texts</t>
  </si>
  <si>
    <t>http://canlii.ca/t/985b</t>
  </si>
  <si>
    <t>These regulations regulate oil and gas exploration and exploitation on First Nation lands. They notably set rules relating to exploration licenses, mandatory insurances, contracts granting surface and subsurface rights and interests, the notification of incidents, the earning of lands, the selection of lands for the intermediate term of a permit, record keeping and reporting, the electronic submission of data and the issuance of notices, bitumen recovery projects, service wells, pooling, production allocation and unit agreements, royalties and compensatory royalties, and audits and examinations by First Nations.</t>
  </si>
  <si>
    <t>Ovens, Signs, Regulator, Bur, Mats, Barrier, Ropes, Tags, Mill, Pens, Level, Cables, Bin, Presses, Ducts, Pans, Scale, Pins, Fuse, Pipe, Tank, Hose, Reservoirs, Plugs, Lights, Aircraft, Vehicle, Dams, Energy using equipment, Bit, Bushings, Scales, Financial Penalty, Magnet, Tender, Sanction, Violation, Criminal Charge, Automobiles, Cap, Tables, Drill, Energy source</t>
  </si>
  <si>
    <t>http://www.gazette.gc.ca/rp-pr/p2/2019/2019-06-26/html/sor-dors196-eng.html</t>
  </si>
  <si>
    <t>Règlement sur le pétrole et le gaz des terres indiennes</t>
  </si>
  <si>
    <t>CA-DORS/2019-196</t>
  </si>
  <si>
    <t>https://legislation.nimonikapp.com/legislations/213536/legislation_texts</t>
  </si>
  <si>
    <t>http://canlii.ca/t/dz8n</t>
  </si>
  <si>
    <t>Ce règlement encadre l’exploration et l’exploitation du pétrole et du gaz sur les terres des premières nations. Il prévoit entre autres les normes relatives aux licenses d’explorations, aux assurances obligatoires, aux contrats accordant des droits ou intérêts relatifs à la surface ou au sous-sol, à la notification d’incidents, au droit de choisir des terres, à la sélection des terres pour la période de validité intermédiaire d’un permis, à la tenue de dossiers et l’établissement de rapport, à la soumission électronique des données et à l’émission électronique des avis, aux projets de récupération de bitume, aux puits de service, aux regroupements, à l’allocation de la production et aux accords de mise en commun, aux redevances et redevances compensatoires et aux vérifications et examens par les premières nations.</t>
  </si>
  <si>
    <t>http://www.gazette.gc.ca/rp-pr/p2/2019/2019-06-26/html/sor-dors196-fra.html</t>
  </si>
  <si>
    <t>CA-SOR/2019-252</t>
  </si>
  <si>
    <t>https://legislation.nimonikapp.com/legislations/213804/legislation_texts</t>
  </si>
  <si>
    <t>http://canlii.ca/t/9lrg</t>
  </si>
  <si>
    <t>These Regulations set rules relating to the environmental response in case of discharge by oil handling facilities. They notably specify the content of the oil pollution prevention plan (OPPP) and the oil pollution emergency plan (OPEP) for oil handling facilities, such as details concerning the training of personnel, the lighting of facilities, and communication between a vessel and an oil handling facilities. They also prescribe classes of vessels and oil handling facilities, set the maximum quantity of oil for an arrangement with a response organisation, and set various reviewing, updating, notification and record keeping requirements. Finally, they prescribe the procedure to follow, and the equipment and resources a facility must have for immediate use, in the event of a discharge of oil during the loading or unloading of a vessel.</t>
  </si>
  <si>
    <t>Conduits, Cargo vessel, Cables, Regulator, Bin, Sights, Presses, Bur, Compasses, Ducts, Nuts, Mill, Scale, Gate, Vises, Pins, Signs, Fuse, Pipe, Tank, Hose, Sinks, Level, Drill, Lights, Mats, Train, Dams, Ropes, Energy using equipment, Scales, Telephones, Financial Penalty, Sanction, Violation, Criminal Charge, Tanker, Cap, Tables, Pens, Springs, Tap</t>
  </si>
  <si>
    <t>SOR/95-405, SOR/2008-275, SOR/2008-97</t>
  </si>
  <si>
    <t>http://www.gazette.gc.ca/rp-pr/p2/2019/2019-07-10/html/sor-dors252-eng.html</t>
  </si>
  <si>
    <t>CA-DORS/2019-252</t>
  </si>
  <si>
    <t>https://legislation.nimonikapp.com/legislations/213805/legislation_texts</t>
  </si>
  <si>
    <t>http://canlii.ca/t/f9vs</t>
  </si>
  <si>
    <t>Ce règlement prévoit les normes en matière d’intervention environnementale suite à un rejet par une installation de manutention d’hydrocarbures. Il précise notamment le contenu du plan de prévention de la pollution par les hydrocarbures (PPPH) et du plan d’urgence contre la pollution par les hydrocarbures (PUPH) pour les installations de manutention d’hydrocarbures, tels que des détails concernant la formation du personnel, l’éclairage à une installation et la communication entre un bâtiment et une installation. Il précise aussi les diverses catégories de bâtiments et d’installations, la quantité maximale d’hydrocarbures dans le cadre d’une entente avec un organisme d’intervention et prévoit des normes concernant la révision et la mise à jour des plans, la tenu de registres et les notifications au gouvernement. Pour terminer, il prévoit la procédure à suivre et les équipements et ressources qu’une installation est tenue d’avoir à sa disposition en cas de rejet d’hydrocarbures durant le chargement ou le déchargement d’un bâtiment.</t>
  </si>
  <si>
    <t>DORS/95-405, DORS/2008-275, DORS/2008-97</t>
  </si>
  <si>
    <t>http://www.gazette.gc.ca/rp-pr/p2/2019/2019-07-10/html/sor-dors252-fra.html</t>
  </si>
  <si>
    <t>CSA Z662:19 - Oil and gas pipeline systems</t>
  </si>
  <si>
    <t>CA-Z662:19</t>
  </si>
  <si>
    <t>https://store.csagroup.org/ccrz__ProductDetails?viewState=DetailView&amp;cartID=&amp;portalUser=&amp;store=&amp;cclcl=en_US&amp;sku=CSA%20Z662%3A19</t>
  </si>
  <si>
    <t>This standard contains requirements and guidelines for the safe design, construction and maintenance of pipeline systems used for gas and for liquid hydrocarbons, such as crude oil, multi-phase fluids, condensate, liquid petroleum products, natural gas liquids and liquefied petroleum gas. It also contains requirements and guidelines concerning pipelines for oilfield water/steam, and carbon dioxide used in oilfield enhanced recovery schemes.</t>
  </si>
  <si>
    <t>CSA Z662:19 - Réseaux de canalisations de pétrole et de gaz</t>
  </si>
  <si>
    <t>CA-Z662:F19</t>
  </si>
  <si>
    <t>https://legislation.nimonikapp.com/legislations/215461/legislation_texts</t>
  </si>
  <si>
    <t>https://store.csagroup.org/ccrz__ProductDetails?viewState=DetailView&amp;cartID=&amp;portalUser=&amp;store=&amp;cclcl=fr_CA&amp;sku=CSA%20Z662%3A19</t>
  </si>
  <si>
    <t>Cette norme contient des exigences et des directives pour la conception, la construction et la maintenance sécuritaire des oléoducs et gazoducs utilisés pour le gaz et les hydrocarbures liquides, tels que le pétrole brut, les fluides polyphasés, les condensats, les produits pétroliers liquides, les liquides de gaz naturel et le gaz de pétrole liquéfié. Il contient également des exigences et des directives concernant les canalisations pour l’eau/vapeur de champs pétrolifères et le dioxyde de carbone utilisé dans les systèmes de récupération assistée.</t>
  </si>
  <si>
    <t>Aviation turbine fuel (grades JET A and JET A-1)</t>
  </si>
  <si>
    <t>CA-CAN/CGSB-3.23-2018</t>
  </si>
  <si>
    <t>oil_and_gas, air_transportation</t>
  </si>
  <si>
    <t>https://legislation.nimonikapp.com/legislations/216414/legislation_texts</t>
  </si>
  <si>
    <t>http://www.publications.gc.ca/site/eng/9.855727/publication.html</t>
  </si>
  <si>
    <t>This standard applies to two grades of kerosene-type aviation turbine fuel (grades JET A and JET A-1), consisting of conventional hydrocarbons, synthetic hydrocarbons, naturally occurring non-hydrocarbons and additives as specified herein. This standard has been replaced by the 2019 version.</t>
  </si>
  <si>
    <t>Bin, Bur, Mats</t>
  </si>
  <si>
    <t>CAN/CGSB-3.23-2016</t>
  </si>
  <si>
    <t>http://publications.gc.ca/collections/collection_2018/ongc-cgsb/P29-003-023-2018-eng.pdf</t>
  </si>
  <si>
    <t>Carburéacteur d'aviation (grades JET A et JET A-1)</t>
  </si>
  <si>
    <t>CA-CAN/CGSB-3.23-2018.fr</t>
  </si>
  <si>
    <t>https://legislation.nimonikapp.com/legislations/216415/legislation_texts</t>
  </si>
  <si>
    <t>http://www.publications.gc.ca/site/fra/9.855729/publication.html</t>
  </si>
  <si>
    <t>La présente norme s’applique à deux grades de carburéacteur d’aviation de type kérosène (grades JET A et JET A-1) constitués d’hydrocarbures classiques, d’hydrocarbures synthétiques, de produits d’origine naturelle autres que des hydrocarbures de pétrole et des additifs indiqués dans la présente norme. Cette norme a été remplacée par la version 2019.</t>
  </si>
  <si>
    <t>CAN/CGSB-3.23-2016.fr</t>
  </si>
  <si>
    <t>http://publications.gc.ca/collections/collection_2018/ongc-cgsb/P29-003-023-2018-fra.pdf</t>
  </si>
  <si>
    <t>Aviation turbine fuel (Military grades F-34, F-37 and F-44)</t>
  </si>
  <si>
    <t>CA-CGSB-3.24-2018</t>
  </si>
  <si>
    <t>oil_and_gas, public_administration_and_institutions, air_transportation</t>
  </si>
  <si>
    <t>https://legislation.nimonikapp.com/legislations/216416/legislation_texts</t>
  </si>
  <si>
    <t>http://www.publications.gc.ca/site/eng/9.855733/publication.html</t>
  </si>
  <si>
    <t>This standard applies to three grades of aviation turbine fuel (military grades F-34, F-37 as its equivalent, and F-44) consisting of conventional hydrocarbons, synthetic hydrocarbons, naturally occurring non-hydrocarbons and additives as specified herein. This standard has been replaced by the 2019 version.</t>
  </si>
  <si>
    <t>CAN/CGSB-3.24-2016</t>
  </si>
  <si>
    <t>http://publications.gc.ca/collections/collection_2018/ongc-cgsb/P29-4-3-24-2018-eng.pdf</t>
  </si>
  <si>
    <t>Carburéacteur d’aviation (grades militaires F-34, F-37 et F-44)</t>
  </si>
  <si>
    <t>CA-CGSB-3.24-2018.fr</t>
  </si>
  <si>
    <t>https://legislation.nimonikapp.com/legislations/216417/legislation_texts</t>
  </si>
  <si>
    <t>http://www.publications.gc.ca/site/fra/9.855735/publication.html</t>
  </si>
  <si>
    <t>La présente norme s’applique à trois grades de carburéacteur d’aviation (grades militaires F-34, F-37 son équivalent et F‑44) constitués d’hydrocarbures classiques, d’hydrocarbures synthétiques, de produits d’origine naturelle autres que des hydrocarbures de pétrole et des additifs indiqués dans la présente norme. Cette norme a été remplacée par la version 2019.</t>
  </si>
  <si>
    <t>CAN/CGSB-3.24-2016.fr</t>
  </si>
  <si>
    <t>http://publications.gc.ca/collections/collection_2018/ongc-cgsb/P29-4-3-24-2018-fra.pdf</t>
  </si>
  <si>
    <t>Aviation turbine fuel (Grades JET A and JET A-1)</t>
  </si>
  <si>
    <t>CA-CAN/CGSB-3.23-2019</t>
  </si>
  <si>
    <t>https://legislation.nimonikapp.com/legislations/216461/legislation_texts</t>
  </si>
  <si>
    <t>http://www.publications.gc.ca/site/eng/9.872039/publication.html</t>
  </si>
  <si>
    <t>This standard applies to two grades of kerosene-type aviation turbine fuel (grades JET A and JET A-1), consisting of conventional hydrocarbons, synthetic hydrocarbons, naturally occurring non-hydrocarbons and additives as specified herein.</t>
  </si>
  <si>
    <t>http://publications.gc.ca/collections/collection_2019/ongc-cgsb/P29-003-023-2019-eng.pdf</t>
  </si>
  <si>
    <t>Carburéacteur d’aviation (grades JET A et JET A-1)</t>
  </si>
  <si>
    <t>CA-CAN/CGSB-3.23-2019.fr</t>
  </si>
  <si>
    <t>https://legislation.nimonikapp.com/legislations/216462/legislation_texts</t>
  </si>
  <si>
    <t>http://www.publications.gc.ca/site/fra/9.872041/publication.html</t>
  </si>
  <si>
    <t>La présente norme s’applique à deux grades de carburéacteur d’aviation de type kérosène (grades JET A et JET A-1) constitués d’hydrocarbures classiques, d’hydrocarbures synthétiques, de produits d’origine naturelle autres que des hydrocarbures de pétrole et des additifs indiqués dans la présente norme.</t>
  </si>
  <si>
    <t>http://publications.gc.ca/collections/collection_2019/ongc-cgsb/P29-003-023-2019-fra.pdf</t>
  </si>
  <si>
    <t>CA-CGSB-3.24-2019</t>
  </si>
  <si>
    <t>https://legislation.nimonikapp.com/legislations/216463/legislation_texts</t>
  </si>
  <si>
    <t>http://www.publications.gc.ca/site/eng/9.872035/publication.html</t>
  </si>
  <si>
    <t>This standard applies to three grades of aviation turbine fuel (military grades F-34, F-37 as its equivalent, and F-44) consisting of conventional hydrocarbons, synthetic hydrocarbons, naturally occurring non-hydrocarbons and additives as specified herein.
This version of the standard has been replaced with the 2020 version.</t>
  </si>
  <si>
    <t>http://publications.gc.ca/collections/collection_2019/ongc-cgsb/P29-4-3-24-2019-eng.pdf</t>
  </si>
  <si>
    <t>CA-CGSB-3.24-2019.fr</t>
  </si>
  <si>
    <t>https://legislation.nimonikapp.com/legislations/216464/legislation_texts</t>
  </si>
  <si>
    <t>http://www.publications.gc.ca/site/fra/9.872037/publication.html</t>
  </si>
  <si>
    <t>La présente norme s’applique à trois grades de carburéacteur d’aviation (grades militaires F-34, F-37 son équivalent et F‑44) constitués d’hydrocarbures classiques, d’hydrocarbures synthétiques, de produits d’origine naturelle autres que des hydrocarbures de pétrole et des additifs indiqués dans la présente norme.
Cette version de la norme a été remplacée par la version 2020.</t>
  </si>
  <si>
    <t>http://publications.gc.ca/collections/collection_2019/ongc-cgsb/P29-4-3-24-2019-fra.pdf</t>
  </si>
  <si>
    <t>TP 14909E – Environmental Response Standards</t>
  </si>
  <si>
    <t>CA-StandardsTP14909E</t>
  </si>
  <si>
    <t>https://legislation.nimonikapp.com/legislations/216509/legislation_texts</t>
  </si>
  <si>
    <t>https://www.tc.gc.ca/eng/marinesafety/tp-14909-environmental-response-standards.html</t>
  </si>
  <si>
    <t>This standard provides guidance to oil handling facilities operators to plan in preparation for a response to an oil pollution incident. It notably provides additional explanation of the requirements found in the Environmental Response Regulations (CA-SOR/2019-252) concerning the oil pollution prevention and emergency plans, exercises and training for certain oil handling facilities, and explains the types of vessels that require an arrangement with a response organization.</t>
  </si>
  <si>
    <t>Environment Management, Security and Public Safety, Hazardous Materials Management, Safety Management, Equipment, Fines, Penalties and Sanctions</t>
  </si>
  <si>
    <t>Level, Scales, Handles, Conduits, Tables, Boom, Skimmers, Trucks, Anchors, Vacuums, Cables, Bin, Ducts, Pans, Scale, Gate, Vises, Pins, Racks, Signs, Tank, Hose, Parallels, Lights, Mats, Train, Dams, Bit, Financial Penalty, Sorbents, Counters, Sanction, Violation, Criminal Charge, Tanker, Cap, Pens, Sights</t>
  </si>
  <si>
    <t>TP 14909F – Normes d’intervention environnementale</t>
  </si>
  <si>
    <t>CA-NormesTP14909F</t>
  </si>
  <si>
    <t>https://legislation.nimonikapp.com/legislations/216510/legislation_texts</t>
  </si>
  <si>
    <t>https://www.tc.gc.ca/fra/securitemaritime/tp-14909-normes-intervention-environnementale.html</t>
  </si>
  <si>
    <t>Ces normes fournissent des directives aux opérateurs d’installations de manutention des hydrocarbures pour la planification de la réponse à un incident de pollution par les hydrocarbures. Elles fournissent entre autres des explications supplémentaires sur les exigences du Règlement sur l’intervention environnementale (CA-DORS/2019-252) applicables aux installations de manutention des hydrocarbures, concernant les plans de prévention de la pollution par les hydrocarbures et les plans d'urgence, les exercices et la formation. Elles expliquent aussi les types de bâtiments qui doivent avoir une entente avec un organisme d'intervention.</t>
  </si>
  <si>
    <t>Information Advisory: CSA Z662-19 Oil and Gas Pipeline Systems</t>
  </si>
  <si>
    <t>CA-NEB-IA2019-002</t>
  </si>
  <si>
    <t>https://legislation.nimonikapp.com/legislations/216533/legislation_texts</t>
  </si>
  <si>
    <t>https://www.cer-rec.gc.ca/en/safety-environment/industry-performance/information-safety-advisories/information-advisory/2019/national-energy-board-information-advisory-neb-ia-2019-002.pdf</t>
  </si>
  <si>
    <t>This information advisory announces that the standard CSA Z662-19, Oil and Gas Pipeline Systems is incorporated by reference to the National Energy Board Onshore Pipeline Regulations.</t>
  </si>
  <si>
    <t>Safety Management, General Facility Design and Operation, Energy Management, Equipment</t>
  </si>
  <si>
    <t>Signs, Pipe, Regulator, Files, Mats, Pans, Energy using equipment</t>
  </si>
  <si>
    <t>https://www.cer-rec.gc.ca/en/safety-environment/industry-performance/information-safety-advisories/information-advisory/2019/national-energy-board-information-advisory-neb-ia-2019-002.html</t>
  </si>
  <si>
    <t>Avis d'information: Norme CSA Z662-19 intitulée Réseaux de canalisations de pétrole et de gaz</t>
  </si>
  <si>
    <t>CA-ONÉ-IA2019-002</t>
  </si>
  <si>
    <t>https://legislation.nimonikapp.com/legislations/216534/legislation_texts</t>
  </si>
  <si>
    <t>https://www.cer-rec.gc.ca/fr/securite-environnement/rendement-lindustrie/avis-securite-dinformation/avis-dinformation/2019/avis-dinformation-loffice-national-lenergie-one-ia-2019-002.pdf</t>
  </si>
  <si>
    <t>Cet avis d’information annonce que la norme CSA Z662-19 - Réseaux de canalisations de pétrole et de gaz est incorporée par référence au Règlement de l’Office national de l’énergie sur les pipelines terrestres.</t>
  </si>
  <si>
    <t>https://www.cer-rec.gc.ca/fr/securite-environnement/rendement-lindustrie/avis-securite-dinformation/avis-dinformation/2019/avis-dinformation-loffice-national-lenergie-one-ia-2019-002.html</t>
  </si>
  <si>
    <t>Directive 054: Performance Reporting and Surveillance of In Situ Oil Sands Schemes</t>
  </si>
  <si>
    <t>CA-AB-Dir.054</t>
  </si>
  <si>
    <t>https://legislation.nimonikapp.com/legislations/217166/legislation_texts</t>
  </si>
  <si>
    <t>https://static.aer.ca/prd/documents/directives/Directive054.pdf</t>
  </si>
  <si>
    <t>This directive supersedes AER Interim Directive (ID) 2002-03: Performance Presentations for In
Situ Oil Sands Schemes. For all in situ oil sands schemes in the Athabasca, Cold Lake, and Peace
River Oil Sands Areas, the directive specifies: performance presentation content, frequency, and formatting requirements (section 3), and
special information requests resulting from AER audits and ongoing surveillance (section 4)</t>
  </si>
  <si>
    <t>Thermocouples, Regulator, Presses, Ducts, Pans, Scale, Gate, Racks, Signs, Labels, Hose, Reservoirs, Level, Balance, Lights, Mats, Ropes, Energy using equipment, Bit, Bells, Scales, Files, Sanction, Violation, Criminal Charge, Barrier, Cap, Tables, Tags, Pens, Drill, Indicators, Bin, Pins, Ramp</t>
  </si>
  <si>
    <t>https://legislation.nimonikapp.com/legislations/217499/legislation_texts</t>
  </si>
  <si>
    <t>http://canlii.ca/t/9ltq</t>
  </si>
  <si>
    <t>This order prohibits any person to commence or continue any work or activity authorized under the Canada Oil and Gas Operations Act (RSC1985,cO-7) on the frontier lands that are situated in Canadian Arctic offshore waters and in respect of which the Minister of Northern Affairs has administrative responsibility for natural resources.</t>
  </si>
  <si>
    <t>Signs, Mats, Hose, Bit, Pins, Regulator, Bin, Presses, Bur, Pans, Gate, Parallels, Balance, Dams, Cabinets, Energy using equipment, Telephones, Financial Penalty, Cap, Tables, Pens, Drill, Tap</t>
  </si>
  <si>
    <t>http://www.gazette.gc.ca/rp-pr/p2/2019/2019-08-21/html/sor-dors280-eng.html</t>
  </si>
  <si>
    <t>Décret interdisant certaines activités dans les eaux au large de l’Arctique</t>
  </si>
  <si>
    <t>CA-DORS/2019-280</t>
  </si>
  <si>
    <t>https://legislation.nimonikapp.com/legislations/217500/legislation_texts</t>
  </si>
  <si>
    <t>http://canlii.ca/t/f9z2</t>
  </si>
  <si>
    <t>Ce décret interdit à toute personne d’entreprendre ou de poursuivre des activités autorisées au titre de la Loi sur les opérations pétrolières au Canada (LRC1985,cO-7) sur les terres domaniales situées dans les eaux au large de l’Arctique canadien dont les ressources naturelles sont placées sous la responsabilité administrative du ministre des Affaires du Nord.</t>
  </si>
  <si>
    <t>http://www.gazette.gc.ca/rp-pr/p2/2019/2019-08-21/html/sor-dors280-fra.html</t>
  </si>
  <si>
    <t>Transitional Regulations for the Purpose of the National Energy Board Cost Recovery Regulations</t>
  </si>
  <si>
    <t>CA-SOR/2019-300</t>
  </si>
  <si>
    <t>https://legislation.nimonikapp.com/legislations/217503/legislation_texts</t>
  </si>
  <si>
    <t>http://canlii.ca/t/9lv2</t>
  </si>
  <si>
    <t>These regulations provide for the application of the National Energy Board Cost Recovery Regulations (SOR/91-7) and the continuation of cost recovery for regulatory oversight by the Canadian Energy Regulator over the full lifecycle of the federal energy infrastructure, in the context of its replacement of the National Energy Board.</t>
  </si>
  <si>
    <t>Financial Administration, Accounting, Charges, Energy Management, Equipment</t>
  </si>
  <si>
    <t>Telephones, Signs, Pipe, Bin, Regulator, Sights, Bur, Mats, Hose, Cabinets, Tables, Energy using equipment, Pens, Level, Vises</t>
  </si>
  <si>
    <t>CA-SC2019,c28</t>
  </si>
  <si>
    <t>http://www.gazette.gc.ca/rp-pr/p2/2019/2019-08-21/html/sor-dors300-eng.html</t>
  </si>
  <si>
    <t>Règlement transitoire pour l’application du Règlement sur le recouvrement des frais de l’Office national de l’énergie</t>
  </si>
  <si>
    <t>CA-DORS/2019-300</t>
  </si>
  <si>
    <t>https://legislation.nimonikapp.com/legislations/217504/legislation_texts</t>
  </si>
  <si>
    <t>http://canlii.ca/t/f9zd</t>
  </si>
  <si>
    <t>Ce règlement prévoit l’application du Règlement sur le recouvrement des frais de l'Office national de l'énergie (DORS/91-7) et le recouvrement des frais relatifs à la surveillance réglementaire par la Régie canadienne de l’énergie pendant tout le cycle de vie de l’infrastructure énergétique de compétence fédérale, dans le contexte du remplacement de l’Office national de l’énergie par la Régie canadienne de l’énergie.</t>
  </si>
  <si>
    <t>http://www.gazette.gc.ca/rp-pr/p2/2019/2019-08-21/html/sor-dors300-fra.html</t>
  </si>
  <si>
    <t>Interim Filing Guidance and Early Engagement Guide</t>
  </si>
  <si>
    <t>CA-CER-Ad-GA-ActsLeg-Fed-MOD-Imp0401</t>
  </si>
  <si>
    <t>https://legislation.nimonikapp.com/legislations/218769/legislation_texts</t>
  </si>
  <si>
    <t>https://www.cer-rec.gc.ca/bts/ctrg/gnnb/ntrmflnggdnc/2019flngntrm/index-eng.html</t>
  </si>
  <si>
    <t>This document contains an interim guidance and an early engagement guide for projects subject to an assessment by the Canada Energy Regulator, to be used with the National Energy Board's Filing Manual (NEB-FilingManual). It notably contains new factors to consider during an application, such as a gender-based analysis plus, and analyses of the project’s potential impacts on Indigenous rights, on Canada's climate change commitments, and on Canada’s environmental obligations. It also contains a guide to identify and address potential issues and to foster early discussions between the proponent, Indigenous groups and stakeholders.</t>
  </si>
  <si>
    <t>Cables, Regulator, Bin, Sights, Presses, Wire, Bur, Ducts, Pans, Nuts, Dredge, Scale, Gate, Energy consumption and conservation, Pins, Signs, Pipe, Boxes, Studs, Hose, Parallels, Level, Energy source, Lights, Mats, Train, Ropes, Energy using equipment, Compressors, Bit, Scales, Telephones, Financial Penalty, Files, Pumps, Bearings, Cap, Tables, Tags, Pens, Radio</t>
  </si>
  <si>
    <t>Dispositions transitoires pour le dépôt de documents</t>
  </si>
  <si>
    <t>CA-REC-Ad-GA-ActsLeg-Fed-MOD-Imp0401</t>
  </si>
  <si>
    <t>https://legislation.nimonikapp.com/legislations/218770/legislation_texts</t>
  </si>
  <si>
    <t>https://www.cer-rec.gc.ca/bts/ctrg/gnnb/ntrmflnggdnc/2019flngntrm/index-fra.html</t>
  </si>
  <si>
    <t>Ce document contient des lignes directrices provisoires et un guide de mobilisation précoce pour les projets assujettis à une évaluation de la Régie de l’énergie du Canada, conçus pour être utilisés de concert avec le Guide de dépôt de l’Office national de l’énergie (ONÉ-GuideDépôt). Il contient notamment de nouveaux éléments à considérer durant une demande, tels qu’une analyse comparative entre les sexes plus et une analyse des effets potentiels du projet sur les droits des peuples autochtones, ainsi que sur les obligations environnementales et les engagements climatiques du Canada. Il contient aussi un guide pour aider à identifier les différents enjeux et encourager les échanges entre le promoteur d’un projet, les groupes autochtones et les différentes parties prenantes.</t>
  </si>
  <si>
    <t>Promise made, promise kept on the Alberta Energy Regulator</t>
  </si>
  <si>
    <t>CA-AB-Prop-2019-09-06</t>
  </si>
  <si>
    <t>https://legislation.nimonikapp.com/legislations/219513/legislation_texts</t>
  </si>
  <si>
    <t>https://www.alberta.ca/release.cfm?xID=644204AFFDD87-B96A-D0CF-F64984DCC01E91AD</t>
  </si>
  <si>
    <t>Input is being sought to inform potential changes to the mandate, governance and system operations of the Alberta Energy Regulator.
Potential changes could notably affect the Responsible Energy Development Act (SA2012,cR-17.3) and several of its regulations. Comments will be accepted until October 14, 2019.</t>
  </si>
  <si>
    <t>https://www.alberta.ca/alberta-energy-regulator-review.aspx</t>
  </si>
  <si>
    <t>New Pipelines Administration Regulations and Directive PNG034: Saskatchewan Pipelines Code</t>
  </si>
  <si>
    <t>CA-SK-Prop-2019-09-23</t>
  </si>
  <si>
    <t>https://legislation.nimonikapp.com/legislations/220175/legislation_texts</t>
  </si>
  <si>
    <t>https://www.saskatchewan.ca/government/public-consultations/new-pipelines-admin-regs-and-directive-png034</t>
  </si>
  <si>
    <t>The Government of Saskatchewan announced its intention to adopt new rules concerning pipelines that would replace those contained in The Pipelines Regulations, 2000 (RRScP-12.1Reg1).
According to the Government of Saskatchewan, the new rules would notably
- contain general administration and licensing requirements concerning pipelines,
- set application and reporting requirements for the construction, operation, maintenance, discontinuance and abandonment of pipelines,
- integrate “risk-based pipeline licensing and reporting” into the Integrated Resource Information System (IRIS), and establish “IRIS as a licence registry rather than simply a license issuer”,
- license retroactively “approximately 80,000 flowlines [...] and any remaining license-exempt pipelines”,
- “eliminate overlap or conflict among regulations, technical standards and directives,
- establish a process to register “orphaned pipelines [those] whose ownership is unknown”,
- set a list of “contraventions subject to penalties and their corresponding maximum penalty amount”,
- remove “license exemption for pipelines transporting freshwater used for oil and gas operations”,
- clarify “surface access limitations on the pipeline licence”,
- extend the licence expiration period and update notification timelines,
- remove “requirement for approvals for low-risk activities including abandonment, discontinuation and repair”, and
- require “operators to be members in good standing of a spill response cooperative”.
They would also set specific standards for the construction, operation, maintenance, discontinuance and abandonment of a pipeline, such as
- “setback requirements and [the requirement for] horizontal directional drilling for installation method of high-risk watercourse crossing pipelines”,
- a “H2S limit for non-metallic pipelines”,
- “requirements in relation to pressure testing and operating pressure”,
- “spatial data requirements to support the development of Geographic Information System pipeline data repository” and survey requirements,
- “spatial and pipeline data requirements for retroactive licensing legacy pipelines”, and
- the requirement “that pipelines design work be certified by [a registered] engineer”.
The changes would be implemented by repealing the Pipelines Regulations, 2000 (RRScP-12.1Reg1), and by adopting the The Pipelines Administration and Licensing Regulations and the Directive PNG034: Saskatchewan Pipelines Code.
Interested persons are invited to make comments concerning those changes by September 30, 2019.</t>
  </si>
  <si>
    <t>Manual 008: Oil Sands and Coal Exploration Application Guide</t>
  </si>
  <si>
    <t>CA-AB-Man08</t>
  </si>
  <si>
    <t>https://legislation.nimonikapp.com/legislations/220751/legislation_texts</t>
  </si>
  <si>
    <t>https://static.aer.ca/prd/documents/manuals/Manual008.pdf</t>
  </si>
  <si>
    <t>This application guide includes the application requirements, processes, and expected timelines for oil sands exploration and coal exploration programs to help industry plan its programs and to help all interested parties understand the regulatory process for exploration under the Public Lands Act, the Environmental Protection and Enhancement Act, the Oil Sands Conservation Act, and the Oil and Gas Conservation Act. This guide should enable the submission of complete applications that can be evaluated by the Alberta Energy Regulator (AER) within expected timelines.</t>
  </si>
  <si>
    <t>Environment Management, Land Use, Wildlife and Land Conservation, Equipment, Fines, Penalties and Sanctions</t>
  </si>
  <si>
    <t>Cables, Regulator, Ducts, Pans, Pins, Signs, Hose, Lights, Mats, Train, Ropes, Timber, Bit, Telephones, Financial Penalty, Files, Tables, Tags, Pens, Drill</t>
  </si>
  <si>
    <t>Minimum volume of renewable fuel in gasoline and diesel fuel —Making</t>
  </si>
  <si>
    <t>CA-QC-Vol.151,No.40(2629)</t>
  </si>
  <si>
    <t>https://legislation.nimonikapp.com/legislations/220766/legislation_texts</t>
  </si>
  <si>
    <t>http://www2.publicationsduquebec.gouv.qc.ca/dynamicSearch/telecharge.php?type=1&amp;file=104101.pdf</t>
  </si>
  <si>
    <t>The Government of Quebec announced its intention to require that gasoline and diesel fuels contain a minimum proportion of renewable fuel, such as ethanol or biodiesel. These new rules would be implemented in July 2021 and would notably apply to fuel manufacturers and importers.
These changes would set “standards for the integration of renewable fuels into gasoline and diesel fuel”, and impose recordkeeping requirements.
The changes would be put in place by adopting a new Regulation respecting the minimum volume of renewable fuel in gasoline and diesel fuel.
Interested persons can submit comments until November 16, 2019.</t>
  </si>
  <si>
    <t>Volume minimal de carburant renouvelable dans l’essence et le carburant diesel —Édiction</t>
  </si>
  <si>
    <t>CA-QC-Vol.151,No.40(4283)</t>
  </si>
  <si>
    <t>https://legislation.nimonikapp.com/legislations/220767/legislation_texts</t>
  </si>
  <si>
    <t>http://www2.publicationsduquebec.gouv.qc.ca/dynamicSearch/telecharge.php?type=1&amp;file=71296.pdf</t>
  </si>
  <si>
    <t>Le Gouvernement du Québec a annoncé son intention d’exiger que l’essence et carburant diesel contiennent une quantité minimale de carburant renouvelable, tel que l’éthanol ou le biodiesel. Ces nouvelles normes seraient implémentées à partir de juillet 2021 et seraient notamment applicables aux fabricants et aux importateurs de carburant.
Ces changements auraient entre autres pour effets de fixer « des normes d’intégration de carburant renouvelable à l’essence et au carburant diesel » et d’imposer des obligations en matière de conservation de documents.
Ces changements seraient apportés en adoptant le Règlement concernant le volume minimal de carburant renouvelable dans l’essence et le carburant diesel.
Les personnes intéressées sont invitées à soumettre des commentaires d’ici le 16 novembre 2019.</t>
  </si>
  <si>
    <t>Proposed Amendments to the Saskatchewan Environmental Code Hydrostatic Testing Chapter</t>
  </si>
  <si>
    <t>CA-SK-Prop-2019-11-04(1)</t>
  </si>
  <si>
    <t>https://legislation.nimonikapp.com/legislations/223283/legislation_texts</t>
  </si>
  <si>
    <t>https://www.saskatchewan.ca/government/public-consultations/proposed-amendments-to-the-hydrostatic-testing-chapter</t>
  </si>
  <si>
    <t>The Government of Saskatchewan is seeking feedback on proposed amendments to the rules concerning hydrostatic testing for oil and gas pipelines.
According to the Government of Saskatchewan, the changes would notably
- exempt pipelines or flowlines tested in a shop prior to pipe placement,
- change the criteria for the application part 1 and 2 of the Code, from the pipe diameter size to the volume size of the hydrostatic test water discharged,
- add a “record keeping requirement for calibration of water quality monitoring and testing equipment”,
- include the “type of hydrostatic tests the acceptable solutions may be used for”,
- create an exemption to the requirement to take photographs of each source water intake location, for existing water infrastructure systems, and
- require people conducting hydrostatic testing who discharge the test water to land to “ensure that all field water quality monitoring and testing equipment [is] maintained and calibrated on a frequency as recommended by the manufacturer”.
These changes would be implemented by amending the Saskatchewan Environmental Code (SEC2015).
Interested persons are invited to make comments concerning those changes by December 16, 2019.</t>
  </si>
  <si>
    <t>Circumstances for Excluding Periods from Time Limits Regulations</t>
  </si>
  <si>
    <t>CA-SOR/2019-348</t>
  </si>
  <si>
    <t>https://legislation.nimonikapp.com/legislations/226393/legislation_texts</t>
  </si>
  <si>
    <t>http://www.gazette.gc.ca/rp-pr/p2/2019/2019-12-11/html/sor-dors348-eng.html</t>
  </si>
  <si>
    <t>These regulations specify when time periods may be excluded from the calculation of various time limits set in the Canadian Energy Regulator Act, such as time limits applicables to applications for a certificate or to applications for an authorisation.</t>
  </si>
  <si>
    <t>Bin, Regulator, Presses, Bur, Ducts, Pans, Energy consumption and conservation, Pins, Signs, Pipe, Studs, Hose, Mats, Cabinets, Energy using equipment, Telephones, Financial Penalty, Files, Pens, Energy source</t>
  </si>
  <si>
    <t>http://www.gazette.gc.ca/rp-pr/p2/2019/2019-12-11/pdf/g2-15325.pdf</t>
  </si>
  <si>
    <t>Règlement prévoyant les circonstances permettant d’exclure des périodes de certains délais</t>
  </si>
  <si>
    <t>CA-DORS/2019-348</t>
  </si>
  <si>
    <t>https://legislation.nimonikapp.com/legislations/226394/legislation_texts</t>
  </si>
  <si>
    <t>http://www.gazette.gc.ca/rp-pr/p2/2019/2019-12-11/html/sor-dors348-fra.html</t>
  </si>
  <si>
    <t>Ce règlement précise les circonstances dans lesquelles des périodes peuvent être exclues du calcul de certain délais prévus dans la Loi sur la Régie canadienne de l’énergie, tels que les délais applicables lors de demandes de certificat ou de demandes d'autorisation.</t>
  </si>
  <si>
    <t>The Pipelines Administration and Licensing Regulations</t>
  </si>
  <si>
    <t>CA-SK-RRScP-12.1Reg2</t>
  </si>
  <si>
    <t>https://legislation.nimonikapp.com/legislations/235228/legislation_texts</t>
  </si>
  <si>
    <t>http://canlii.ca/t/9pk9</t>
  </si>
  <si>
    <t>These regulations regulate the licensing of pipelines. They notably establish rules related to the eligibility of a person to hold a pipeline licence and regarding the deletion or correction of records in the licence registry. They also set out requirements related to the ability of a person to search the licence registry, and requirements related to the suspension or cancellation of pipeline licences. They exempt certain classes of pipelines from the licensing requirements of The Pipelines Act, 1998, and establish rules regarding the recording of pipeline licences where the owner ceases to exist or cannot be determined. Finally, they establish the time frame for the retroactive licensing of previously-exempt pipelines.</t>
  </si>
  <si>
    <t>Telephones, Tables, Cables, Presses, Ducts, Pans, Vises, Pins, Signs, Fuse, Pipe, Hose, Oilers, Mats, Ropes, Energy using equipment, Financial Penalty, Files, Sanction, Violation, Criminal Charge, Pens</t>
  </si>
  <si>
    <t>https://publications.saskatchewan.ca/api/v1/products/103942/formats/115577/download</t>
  </si>
  <si>
    <t>Proposed Regulatory Amendments to the General Regulation (O. Reg. 267/03 – General) under the Nutrient Management Act to Support On-Farm Regulated Mixed Anaerobic Digestion Facilities</t>
  </si>
  <si>
    <t>CA-ON-ERO-019-1234</t>
  </si>
  <si>
    <t>oil_and_gas, agriculture_industry</t>
  </si>
  <si>
    <t>https://legislation.nimonikapp.com/legislations/236033/legislation_texts</t>
  </si>
  <si>
    <t>https://ero.ontario.ca/notice/019-1234</t>
  </si>
  <si>
    <t>The Government of Ontario announced its intention to “expand the regulatory framework for on-farm regulated mixed anaerobic digestion facilities”.
According to the Government of Ontario, the changes would notably
- “accommodate anaerobic digestion systems that generate renewable natural gas on farms”,
- clarify “design requirements to enable biogas upgrading to renewable natural gas on an agricultural operation under the Nutrient Management Act”,
- “define what components fall under the definition of [a regulated mixed anaerobic digestion facilities] and therefore are required to meet certain rules”,
- clarify “digester tank design to bring liner and containment requirements into conformity with other permanent storage systems on the farm”,
- change the “quantity limits of off-farm materials”,
- “increase maximum allowable limits of off-farm materials, accompanied by new requirements for odour control and odour management plans”,
- “remove restrictions on the quantity of on-farm materials”,
- “remove the restriction on materials that can be received from other farms”,
- “increase allowable proportion of non-manure based agricultural materials for digestion with manure”,
- “provide greater flexibility for the types of off-farm materials that can be used in the digester”,
- allow new types of off-farm anaerobic digestion materials,
- propose a new regulatory process for the approval of feedstock, and
- simplify “operational requirements regarding the sampling and analysis of received anaerobic digestion materials”.
These changes would be implemented by amending General - Nutrient Management Act, 2002 (O.Reg.267/03).
Interested persons are invited to make comments concerning these changes by March 13, 2020.</t>
  </si>
  <si>
    <t>Fugitive Emissions Management Guideline</t>
  </si>
  <si>
    <t>CA-BC-FEMG</t>
  </si>
  <si>
    <t>https://legislation.nimonikapp.com/legislations/236672/legislation_texts</t>
  </si>
  <si>
    <t>https://www.bcogc.ca/files/operations-documentation/Oil-and-Gas-Operations-Manual/Supporting-Documents/femp-guidance-july-release-v10-2019.pdf</t>
  </si>
  <si>
    <t>This guideline focuses exclusively on requirements and processes associated with the BC Oil and Gas
Commission’s (Commission) legislative authorities and does not provide information on legal responsibilities
that the Commission does not regulate. It is the responsibility of the applicant or permit holder to know and
uphold its other legal responsibilities.</t>
  </si>
  <si>
    <t>Heaters, Screen, Ladders, Valves, Tags, Wire, Regulator, Tables, Signs, Plugs, Tank, Pumps, Controllers, Indicators, Compressors, Sights, Scaffolds, Gauges, Seats, Fittings, Level, Blowers, Boxes, Bags, Hose, Sprayers, Bottles, Vacuums, Cables, Presses, Bur, Wheels, Ducts, Pans, Mill, Vises, Pins, Racks, Pipe, Oilers, Gauge, Drill, Lights, Mats, Train, Ropes, Energy using equipment, Financial Penalty, Energy efficiency and saving, Cap, Pens</t>
  </si>
  <si>
    <t>Manual 007: Principles for Minimizing Surface Disturbance in Native Prairie and Parkland Areas</t>
  </si>
  <si>
    <t>CA-AB-AERMan007</t>
  </si>
  <si>
    <t>https://legislation.nimonikapp.com/legislations/236673/legislation_texts</t>
  </si>
  <si>
    <t>https://static.aer.ca/prd/documents/manuals/Manual007.pdf</t>
  </si>
  <si>
    <t>The principles and best practices in this manual apply to all native prairie disturbances associated with
petroleum industry development. Their implementation is encouraged for development in native prairie
and parkland areas on both private and public land.</t>
  </si>
  <si>
    <t>Regulator, Scales, Filters, Bin, Ducts, Pans, Scale, Signs, Mats, Train, Ropes, Bit, Bells, Telephones, Cap, Pens, Drill, Tap</t>
  </si>
  <si>
    <t>An Act to repeal certain restrictions on shipping</t>
  </si>
  <si>
    <t>CA-Bill-C-229(43-1)</t>
  </si>
  <si>
    <t>https://legislation.nimonikapp.com/legislations/237391/legislation_texts</t>
  </si>
  <si>
    <t>https://www.parl.ca/DocumentViewer/en/43-1/bill/C-229/first-reading</t>
  </si>
  <si>
    <t>A bill has been introduced by a member of parliament part of the opposition to put an end to the oil tanker moratorium. 
According to Transport Canada, the oil tanker moratorium “prohibits oil tankers carrying more than 12,500 metric tons of crude oil or persistent oil products as cargo from stopping, loading or unloading at ports or marine installations in the moratorium area”. This area extends from “the Canada/United States border in the north, down to the point on British Columbia’s mainland across from the northern tip of Vancouver Island”.
More information about the oil tanker moratorium is available &lt;a href="https://www.tc.gc.ca/eng/marinesafety/oil-tanker-moratorium-british-columbia-north-coast.html" target="_blank"&gt;here&lt;/a&gt;.</t>
  </si>
  <si>
    <t>https://www.parl.ca/LegisInfo/BillDetails.aspx?Mode=1&amp;billId=10653714&amp;Language=E</t>
  </si>
  <si>
    <t>Loi révoquant certaines restrictions relatives au transport maritime</t>
  </si>
  <si>
    <t>CA-PL-C-229(43-1)</t>
  </si>
  <si>
    <t>https://legislation.nimonikapp.com/legislations/237392/legislation_texts</t>
  </si>
  <si>
    <t>https://www.parl.ca/DocumentViewer/fr/43-1/projet-loi/C-229/premiere-lecture</t>
  </si>
  <si>
    <t>Un projet de loi a été introduit par un député membre de l’opposition afin de mettre fin au moratoire sur les pétroliers.
Selon Transport Canada, le moratoire interdit aux « pétroliers qui transportent des cargaisons contenant plus de 12 500 tonnes métriques de pétrole brut ou d’hydrocarbures persistants [de] s’arrêter et charger ou décharger ces cargaisons dans les ports et les installations maritimes dans la zone du moratoire ». Cette zone s’étend « de la frontière nord canado-américaine vers le sud, jusqu’au point situé sur la partie continentale de la Colombie-Britannique adjacente à la pointe nord de l’île de Vancouver ».
Pour davantage d’informations à propos du moratoire sur les pétroliers, veuillez suivre le &lt;a href="https://www.tc.gc.ca/fra/securitemaritime/moratoire-circulation-petroliers-cote-nord-colombie-britannique.html" target="_blank"&gt;lien suivant&lt;/a&gt;.</t>
  </si>
  <si>
    <t>https://www.parl.ca/LegisInfo/BillDetails.aspx?Mode=1&amp;billId=10653714&amp;Language=F</t>
  </si>
  <si>
    <t>International and Interprovincial Power Line Damage Prevention Regulations — Authorizations</t>
  </si>
  <si>
    <t>CA-SOR/2019-347</t>
  </si>
  <si>
    <t>https://legislation.nimonikapp.com/legislations/237514/legislation_texts</t>
  </si>
  <si>
    <t>http://canlii.ca/t/9m1x</t>
  </si>
  <si>
    <t>These regulations regulate disturbances to international or interprovincial power lines. They notably define the areas near a power line where unauthorised ground disturbances are prohibited, specify activities that do not constitute a ground disturbance, and set requirements concerning authorisations for the construction of facilities across, on, along or under a power line, or to engage in an activity that causes a ground disturbance. Finally, they specify the circumstances under which the construction of a power line that passes on, over, along or under a facility can be undertaken.</t>
  </si>
  <si>
    <t>Communications and Utilities, Equipment, Fines, Penalties and Sanctions</t>
  </si>
  <si>
    <t>Regulator, Vehicle, Signs, Financial Penalty, Cables, Mats, Ducts, Sanction, Violation, Criminal Charge, Dams, Ropes, Bit, Pens</t>
  </si>
  <si>
    <t>Règlement sur la prévention des dommages aux lignes internationales et interprovinciales de transport d’électricité (régime d’autorisation)</t>
  </si>
  <si>
    <t>CA-DORS/2019-347</t>
  </si>
  <si>
    <t>https://legislation.nimonikapp.com/legislations/237515/legislation_texts</t>
  </si>
  <si>
    <t>http://canlii.ca/t/fb58</t>
  </si>
  <si>
    <t>Ce règlement encadre la perturbation des lignes internationales et interprovinciales de transport d’électricité. Il prévoit entre autres la zone se trouvant autour d’une ligne électrique où les remuements du sol non-autorisés sont interdits, précise quelles activitées ne constituent pas des remuement du sol et prévoit des exigences concernant les autorisations pour la construction d’installations au-dessus, au-dessous ou le long d’une ligne électrique ou pour exercer une activité qui occasionne le remuement du sol. Il prévoit en outre les circonstances dans lesquelles une ligne électrique passant sur, sous, au-dessus ou le long d’une installation peut être construite.</t>
  </si>
  <si>
    <t>Environmental Studies Research Fund Regions Regulations</t>
  </si>
  <si>
    <t>CA-SOR/87-641</t>
  </si>
  <si>
    <t>https://legislation.nimonikapp.com/legislations/238125/legislation_texts</t>
  </si>
  <si>
    <t>http://canlii.ca/t/7zsf</t>
  </si>
  <si>
    <t>This Regulation prescribes the regions that apply the environmental studies research fund to the Minister of Energy, Mines and Resources or to the Minister of Indian Affairs and Northern Development.</t>
  </si>
  <si>
    <t>Financial Penalty, Bin, Mats, Studs, Cap, Bit, Pens</t>
  </si>
  <si>
    <t>https://laws-lois.justice.gc.ca/eng/regulations/SOR-87-641/FullText.html</t>
  </si>
  <si>
    <t>Règlement sur les régions visées par le Fonds pour l’étude de l’environnement</t>
  </si>
  <si>
    <t>CA-DORS/87-641</t>
  </si>
  <si>
    <t>https://legislation.nimonikapp.com/legislations/439716/legislation_texts</t>
  </si>
  <si>
    <t>https://www.canlii.org/fr/ca/legis/regl/dors-87-641/derniere/dors-87-641.html</t>
  </si>
  <si>
    <t>Frontier Lands Petroleum Royalty Regulations</t>
  </si>
  <si>
    <t>CA-SOR/92-26</t>
  </si>
  <si>
    <t>https://legislation.nimonikapp.com/legislations/238126/legislation_texts</t>
  </si>
  <si>
    <t>http://canlii.ca/t/804c</t>
  </si>
  <si>
    <t>This Regulation sets requirements for frontier lands petroleum royalty and certifications.</t>
  </si>
  <si>
    <t>Cables, Presses, Bur, Ducts, Gate, Pins, Signs, Pipe, Tank, Studs, Hose, Balance, Mats, Dams, Ropes, Energy using equipment, Financial Penalty, Files, Sanction, Violation, Criminal Charge, Tanker, Cap, Tables, Tags, Pens, Drill</t>
  </si>
  <si>
    <t>https://laws-lois.justice.gc.ca/eng/regulations/sor-92-26/FullText.html</t>
  </si>
  <si>
    <t>Règlement sur les redevances relatives aux hydrocarbures provenant des terres domaniales</t>
  </si>
  <si>
    <t>CA-DORS/92-26</t>
  </si>
  <si>
    <t>https://legislation.nimonikapp.com/legislations/439717/legislation_texts</t>
  </si>
  <si>
    <t>https://www.canlii.org/fr/ca/legis/regl/dors-92-26/derniere/dors-92-26.html</t>
  </si>
  <si>
    <t>Frontier Lands Registration Regulations</t>
  </si>
  <si>
    <t>CA-SOR/88-230</t>
  </si>
  <si>
    <t>https://legislation.nimonikapp.com/legislations/238127/legislation_texts</t>
  </si>
  <si>
    <t>http://canlii.ca/t/7zt3</t>
  </si>
  <si>
    <t>This Regulation sets the requirements for the administration and registration of interests and instruments in relation to frontier lands and prescribing fees to be paid in respect of such interests and instruments.</t>
  </si>
  <si>
    <t>Natural Resource Management, Energy Management, Equipment</t>
  </si>
  <si>
    <t>Signs, Fuse, Magnet, Bin, Files, Mats, Bench, Hose, Energy using equipment, Vises</t>
  </si>
  <si>
    <t>https://laws-lois.justice.gc.ca/eng/regulations/SOR-88-230/FullText.html</t>
  </si>
  <si>
    <t>Règlement sur l’enregistrement des titres relatifs aux terres domaniales</t>
  </si>
  <si>
    <t>CA-DORS/88-230</t>
  </si>
  <si>
    <t>https://legislation.nimonikapp.com/legislations/439718/legislation_texts</t>
  </si>
  <si>
    <t>https://www.canlii.org/fr/ca/legis/regl/dors-88-230/derniere/dors-88-230.html</t>
  </si>
  <si>
    <t>Oil Product Designation Regulations</t>
  </si>
  <si>
    <t>CA-SOR/88-216</t>
  </si>
  <si>
    <t>https://legislation.nimonikapp.com/legislations/238128/legislation_texts</t>
  </si>
  <si>
    <t>http://canlii.ca/t/8mhf</t>
  </si>
  <si>
    <t>This Regulation designates certain substances as oil products and exempting certain kinds of oil from the operation of certain provisions of the National Energy Board Act.</t>
  </si>
  <si>
    <t>Regulator, Signs, Ducts</t>
  </si>
  <si>
    <t>https://laws-lois.justice.gc.ca/eng/regulations/SOR-88-216/page-1.html</t>
  </si>
  <si>
    <t>Règlement concernant la qualification de produits pétroliers</t>
  </si>
  <si>
    <t>CA-DORS/88-216</t>
  </si>
  <si>
    <t>https://legislation.nimonikapp.com/legislations/241461/legislation_texts</t>
  </si>
  <si>
    <t>http://canlii.ca/t/dblr</t>
  </si>
  <si>
    <t>Règlement qualifiant de produits pétroliers certaines substances et exemptant certaines variétés de pétrole de l’application de certaines dispositions de la Loi sur l’Office national de l’énergie.</t>
  </si>
  <si>
    <t>Northern Pipeline Notice of Objection Regulations</t>
  </si>
  <si>
    <t>CA-SOR/81-235</t>
  </si>
  <si>
    <t>https://legislation.nimonikapp.com/legislations/238129/legislation_texts</t>
  </si>
  <si>
    <t>https://laws-lois.justice.gc.ca/eng/regulations/SOR-81-235/page-1.html</t>
  </si>
  <si>
    <t>This Regulation provides the Notice of Objection Form To Be Used by a Company that Objects to an Assessment Under Section 26 of the Northern Pipeline Act.</t>
  </si>
  <si>
    <t>Environment Management, Energy Management, Equipment</t>
  </si>
  <si>
    <t>Signs, Pipe, Bin, Boxes, Pans, Energy using equipment, Envelopes</t>
  </si>
  <si>
    <t>Règlement sur l’avis d’opposition du pipe-line du Nord</t>
  </si>
  <si>
    <t>CA-DORS/81-235</t>
  </si>
  <si>
    <t>https://legislation.nimonikapp.com/legislations/439719/legislation_texts</t>
  </si>
  <si>
    <t>https://laws-lois.justice.gc.ca/fra/reglements/DORS-81-235/page-1.html</t>
  </si>
  <si>
    <t>Directive 032: Common Gas Purchaser and Related Matters, Board Policy and Views</t>
  </si>
  <si>
    <t>CA-AB-Dir032</t>
  </si>
  <si>
    <t>https://legislation.nimonikapp.com/legislations/238318/legislation_texts</t>
  </si>
  <si>
    <t>https://www.aer.ca/documents/directives/Directive032.pdf</t>
  </si>
  <si>
    <t>This Directive reports the Energy Resources Conservation Board's review of administrative problems concerning the petroleum industry.</t>
  </si>
  <si>
    <t>Regulator, Mats, Ducts</t>
  </si>
  <si>
    <t>https://www.aer.ca/regulating-development/rules-and-directives/directives/directive-032</t>
  </si>
  <si>
    <t>Directive 058 Addendum 2015-01-14: Oilfield Waste Management Facility Approvals—Notification and Amendment Procedures</t>
  </si>
  <si>
    <t>CA-AB-Dir058-Addendum</t>
  </si>
  <si>
    <t>https://legislation.nimonikapp.com/legislations/238319/legislation_texts</t>
  </si>
  <si>
    <t>https://www.aer.ca/regulating-development/rules-and-directives/directives/directive-058-addendum</t>
  </si>
  <si>
    <t>This Directive sets out a notification procedure for minor modifications to existing oilfield waste management facilities and identifies those modifications that require an application to amend the oilfield waste management facility approval. This addendum also sets out the application process to obtain approval to conduct one-time operations or pilot projects on existing oilfield waste management facilities.</t>
  </si>
  <si>
    <t>Hazardous Materials Management, Waste Management, Equipment</t>
  </si>
  <si>
    <t>Mats, Hose, Ducts</t>
  </si>
  <si>
    <t>https://www.aer.ca/documents/directives/Directive058_addendum.pdf</t>
  </si>
  <si>
    <t>Interim Directive ID90-01: Completion and Servicing of Sour Wells</t>
  </si>
  <si>
    <t>CA-AB-ID90-01</t>
  </si>
  <si>
    <t>https://legislation.nimonikapp.com/legislations/238320/legislation_texts</t>
  </si>
  <si>
    <t>https://www.aer.ca/documents/ids/id90-01.pdf</t>
  </si>
  <si>
    <t>This Interim Directive replaces Informational Letter 84-9 and sets out the requirements for completion and/or servicing operations as they apply to sour wells. Sections 1 to 4 set out the procedures and requirements for sour wells. Sections 5 to 8 set out the requirements for approval to conduct completion or servicing operations for critical sour wells.</t>
  </si>
  <si>
    <t>Cables, Regulator, Bin, Presses, Wire, Ducts, Pans, Nuts, Pins, Racks, Manifolds, Ovens, Signs, Pipe, Boxes, Studs, Pile, Hose, Reservoirs, Chain, Level, Tubing, Plugs, Valves, Chairs, Aircraft, Mats, Vehicle, Lubricators, Train, Dams, Ropes, Energy using equipment, Bit, Financial Penalty, Fittings, Files, Pumps, Sanction, Violation, Criminal Charge, Barrier, Cap, Tables, Tags, Pens, Drill</t>
  </si>
  <si>
    <t>https://www.aer.ca/regulating-development/rules-and-directives/interim-directives/id-90-01</t>
  </si>
  <si>
    <t>Interim Directive ID91-03: Heavy Oil/Oil Sands Operations</t>
  </si>
  <si>
    <t>CA-AB-ID91-03</t>
  </si>
  <si>
    <t>https://legislation.nimonikapp.com/legislations/238321/legislation_texts</t>
  </si>
  <si>
    <t>https://www.aer.ca/documents/ids/id91-03.pdf</t>
  </si>
  <si>
    <t>This Interim Directive amends certain minimum regulatory requirements for: the drilling and servicing of heavy oil/in situ oil sands wells, equipment and spacing in the production of heavy oil/in situ oil sands, and measurement and accounting for heavy oil/in situ oil sands.</t>
  </si>
  <si>
    <t>Cables, Regulator, Presses, Bur, Ducts, Pans, Nuts, Vises, Pins, Manifolds, Signs, Internal combustion engine, Pipe, Tank, Hose, Heaters, Reservoirs, Enclosures, Level, Mats, Train, Sand core, Dams, Energy using equipment, Bit, Financial Penalty, Pumps, Sanction, Violation, Criminal Charge, Cap, Tables, Pens, Drill</t>
  </si>
  <si>
    <t>https://www.aer.ca/regulating-development/rules-and-directives/interim-directives/id-91-03</t>
  </si>
  <si>
    <t>Interim Directive ID99-04: Deposition of Oilfield Waste into Landfills</t>
  </si>
  <si>
    <t>CA-AB-ID99-04</t>
  </si>
  <si>
    <t>https://legislation.nimonikapp.com/legislations/238322/legislation_texts</t>
  </si>
  <si>
    <t>https://www.aer.ca/documents/ids/id99-04.pdf</t>
  </si>
  <si>
    <t>This Interim Directive provides the Memorandum of Understanding between the Alberta Energy and Utilities Board and Alberta Environmental Protection which outlines the oilfield waste quality criteria and landfill design requirements regarding the deposition of drilling mud and cuttings, produced sands, oily sludges, tank and treater bottoms, and flare pit material into Alberta class II landfills.</t>
  </si>
  <si>
    <t>Waste Management, Hazardous Materials Management, Equipment, Fines, Penalties and Sanctions</t>
  </si>
  <si>
    <t>Cables, Regulator, Ducts, Pans, Squares, Signs, Tank, Hose, Glass, Bags, Mats, Ropes, Generators, Timber, Bit, Financial Penalty, Filters, Sorbents, Sanction, Violation, Criminal Charge, Cap, Tables, Pens, Drill</t>
  </si>
  <si>
    <t>https://www.aer.ca/regulating-development/rules-and-directives/interim-directives/id-99-04</t>
  </si>
  <si>
    <t>Interim Directive ID2000-04: An Update to the Requirements for the Appropriate Management of Oilfield Wastes</t>
  </si>
  <si>
    <t>CA-AB-ID2000-04</t>
  </si>
  <si>
    <t>https://legislation.nimonikapp.com/legislations/238323/legislation_texts</t>
  </si>
  <si>
    <t>https://www.aer.ca/documents/ids/id2000-04.pdf</t>
  </si>
  <si>
    <t>The purpose of this Interim Directive is to communicate requirements specific to the management of oilfield wastes. Some of the requirements outlined here are a clarification or modification of the requirements detailed in EUB Guide 58: Oilfield Waste Management Requirements for the Upstream Petroleum Industry.</t>
  </si>
  <si>
    <t>Waste Management, Hazardous Materials Management, Equipment, Energy Management, Fines, Penalties and Sanctions</t>
  </si>
  <si>
    <t>Ladders, Regulator, Bin, Presses, Bur, Ducts, Pans, Racks, Mops, Signs, Pipe, Pile, Level, Bags, Mats, Energy using equipment, Generators, Compressors, Bit, Composter, Financial Penalty, Tables, Pens, Drill</t>
  </si>
  <si>
    <t>https://www.aer.ca/regulating-development/rules-and-directives/interim-directives/id-2000-04</t>
  </si>
  <si>
    <t>Interim Directive ID2001-03: Sulphur Recovery Guidelines for the Province of Alberta</t>
  </si>
  <si>
    <t>CA-AB-ID2001-03</t>
  </si>
  <si>
    <t>https://legislation.nimonikapp.com/legislations/238324/legislation_texts</t>
  </si>
  <si>
    <t>https://www.aer.ca/documents/ids/id2001-03.pdf</t>
  </si>
  <si>
    <t>This Interim Directive sets out the guidelines and provides details on how the Alberta Energy and Utilities Board and Alberta Environment will implement the findings of the review and apply the revised sulphur recovery guidelines to sour gas plants, other upstream petroleum facilities, and downstream petroleum operations, including refineries and heavy oil and bitumen upgraders.</t>
  </si>
  <si>
    <t>Air Emissions and Ambient Air Quality, Environment Management, Equipment, Energy Management, Fines, Penalties and Sanctions</t>
  </si>
  <si>
    <t>https://www.aer.ca/regulating-development/rules-and-directives/interim-directives/id-2001-03</t>
  </si>
  <si>
    <t>Directive 007-1: Allowables Handbook</t>
  </si>
  <si>
    <t>CA-AB-Dir007-1</t>
  </si>
  <si>
    <t>https://legislation.nimonikapp.com/legislations/238326/legislation_texts</t>
  </si>
  <si>
    <t>https://static.aer.ca/prd/documents/directives/Directive007-1.pdf</t>
  </si>
  <si>
    <t>This Directive explains the Alberta Energy Regulator’s procedures for determining monthly allowables for a production entity (well or block). Allowables or maximum rate limitations are rate controls applied primarily to oil entities in accordance with a Board order.</t>
  </si>
  <si>
    <t>Cables, Regulator, Presses, Ducts, Pans, Gate, Squares, Signs, Reservoirs, Level, Plugs, Mats, Financial Penalty, Files, Counters, Sanction, Violation, Criminal Charge, Cap, Tables, Pens, Drill</t>
  </si>
  <si>
    <t>https://www.aer.ca/regulating-development/rules-and-directives/directives/directive-007-1</t>
  </si>
  <si>
    <t>Directive 031: REDA Energy Cost Claims</t>
  </si>
  <si>
    <t>CA-AB-Dir031</t>
  </si>
  <si>
    <t>https://legislation.nimonikapp.com/legislations/238327/legislation_texts</t>
  </si>
  <si>
    <t>https://www.aer.ca/documents/directives/Directive031.pdf</t>
  </si>
  <si>
    <t>This Directive is intended to direct participants who wish to apply to the AER for an advance of funds or an award of costs in relation to their participation in a hearing.</t>
  </si>
  <si>
    <t>Cables, Regulator, Bin, Bur, Ducts, Bench, Pans, Scale, Pins, Signs, Fuse, Studs, Hose, Davits, Level, Balance, Mats, Train, Ropes, Scales, Telephones, Financial Penalty, Files, Automobiles, Tables, Tags, Pens</t>
  </si>
  <si>
    <t>https://www.aer.ca/regulating-development/rules-and-directives/directives/directive-031</t>
  </si>
  <si>
    <t>Directive 034: Gas Well Testing, Theory and Practice</t>
  </si>
  <si>
    <t>CA-AB-Dir034</t>
  </si>
  <si>
    <t>https://www.aer.ca/documents/directives/Directive034-1979.pdf</t>
  </si>
  <si>
    <t>This Directive discusses the principles and practice of gas well testing to analyze the performance and forecast the productivity of gas wells and to understand the behaviour of gas reservoirs.</t>
  </si>
  <si>
    <t>https://www.aer.ca/regulating-development/rules-and-directives/directives/directive-034</t>
  </si>
  <si>
    <t>Manual 009: Play-Based Regulation Pilot Application Guide</t>
  </si>
  <si>
    <t>CA-AB-PBRPAG</t>
  </si>
  <si>
    <t>https://legislation.nimonikapp.com/legislations/238329/legislation_texts</t>
  </si>
  <si>
    <t>https://www.aer.ca/documents/manuals/Manual009.pdf</t>
  </si>
  <si>
    <t>This Manual sets out the information that must be included in an application submitted under the Alberta Energy Regulator’s play-based regulation pilot and provides guidance on how to prepare the application.</t>
  </si>
  <si>
    <t>Cables, Compasses, Regulator, Bin, Sights, Presses, Ducts, Pans, Scale, Gate, Vises, Pins, Signs, Pipe, Hose, Reservoirs, Parallels, Level, Balance, Mats, Train, Dams, Ropes, Energy using equipment, Bit, Scales, Telephones, Financial Penalty, Files, Sanction, Violation, Criminal Charge, Cap, Tables, Tags, Pens, Drill, Indicators</t>
  </si>
  <si>
    <t>Manual 011: How to Submit Volumetric Data to the AER</t>
  </si>
  <si>
    <t>CA-AB-HSVD</t>
  </si>
  <si>
    <t>https://legislation.nimonikapp.com/legislations/238330/legislation_texts</t>
  </si>
  <si>
    <t>https://www.aer.ca/documents/manuals/Manual011.pdf</t>
  </si>
  <si>
    <t>This Manual is a guide for industry on understanding how data are submitted to the Alberta Energy Regulator through Petrinex. It is not for training industry on production accounting or on using Petrinex.</t>
  </si>
  <si>
    <t>Desiccants, Cables, Collar, Regulator, Bin, Presses, Bur, Ducts, Pans, Nuts, Mill, Scale, Gate, Vises, Pins, Racks, Signs, Pipe, Tank, Boxes, Pump jacks, Hose, Recorders, Heaters, Reservoirs, Enclosures, Desks, Level, Tubing, Drill, Balance, Valves, Mats, Flags, Train, Energy using equipment, Shaft, Plungers, Compressors, Jacks, Bushings, Trucks, Bit, Scales, Telephones, Handles, Financial Penalty, Files, Counters, Pumps, Bearings, Cap, Tables, Tags, Pens, Screen</t>
  </si>
  <si>
    <t>Drilling Royalty Credit Regulation</t>
  </si>
  <si>
    <t>CA-AB-AltaReg245/2009</t>
  </si>
  <si>
    <t>https://legislation.nimonikapp.com/legislations/238334/legislation_texts</t>
  </si>
  <si>
    <t>http://canlii.ca/t/8mcm</t>
  </si>
  <si>
    <t>This Regulation lays down provisions relating to the granting of credits for drilling activities, establishing and allocating drilling royalty credits, applying for credits, average daily Crown production, crude oil and gas royalty obligations, records, licensee and operator liability.</t>
  </si>
  <si>
    <t>Cables, Regulator, Presses, Ducts, Pans, Gate, Pins, Hose, Balance, Mats, Ropes, Bushings, Financial Penalty, Sanction, Violation, Criminal Charge, Tables, Tags, Drill</t>
  </si>
  <si>
    <t>http://extwprlegs1.fao.org/docs/pdf/al95385.pdf</t>
  </si>
  <si>
    <t>Natural Gas Deep Drilling Regulation, 2010</t>
  </si>
  <si>
    <t>CA-AB-AltaReg198/2010</t>
  </si>
  <si>
    <t>https://legislation.nimonikapp.com/legislations/238335/legislation_texts</t>
  </si>
  <si>
    <t>http://canlii.ca/t/8ntt</t>
  </si>
  <si>
    <t>This regulation is made under the Mines and Minerals Act to encourage new exploration, development and production from deeper and high cost natural gas wells. The regulation applies to royalty on gas recovered or obtained from eligible wells on or after May 1, 2010 and on or before December 31, 2021. Royalty credits are provided to cover a portion of the drilling and completion costs for eligible wells, and can be used to reduce the royalties payable for eligible wells.</t>
  </si>
  <si>
    <t>Cables, Regulator, Ducts, Gate, Pins, Hose, Balance, Mats, Dams, Ropes, Bit, Bushings, Financial Penalty, Bearings, Sanction, Violation, Criminal Charge, Tags, Pens, Drill</t>
  </si>
  <si>
    <t>http://www.qp.alberta.ca/documents/Regs/2010_198.pdf</t>
  </si>
  <si>
    <t>http://www.qp.alberta.ca/570.cfm</t>
  </si>
  <si>
    <t>Deep oil Exploratory Well Regulation</t>
  </si>
  <si>
    <t>CA-AB-AltaReg225/2008</t>
  </si>
  <si>
    <t>https://legislation.nimonikapp.com/legislations/238338/legislation_texts</t>
  </si>
  <si>
    <t>http://canlii.ca/t/83xr</t>
  </si>
  <si>
    <t>This Regulation is made under the Mines and Minerals Act and applies to eligible wells where the spudding or the commencement of drilling or deepening of the well occurs on or after January 1, 2009 and on or before December 31, 2013.</t>
  </si>
  <si>
    <t>Cables, Regulator, Ducts, Pins, Signs, Fuse, Hose, Balance, Lights, Mats, Dams, Ropes, Bushings, Financial Penalty, Sanction, Violation, Criminal Charge, Tags, Pens, Drill</t>
  </si>
  <si>
    <t>http://www.qp.alberta.ca/documents/Regs/2008_225.pdf</t>
  </si>
  <si>
    <t>https://legislation.nimonikapp.com/legislations/238339/legislation_texts</t>
  </si>
  <si>
    <t>http://canlii.ca/t/8zs3</t>
  </si>
  <si>
    <t>This Regulation is made under the Mines and Minerals Act to promote the additional recovery of hydrocarbons through the injection of approved substances into an oil or gas pool. Recovery is incentivized by reducing the amount of Crown royalty due on hydrocarbons produced using enhanced recovery methods for up to 90 months. The regulation applies only to hydrocarbons obtained under an enhanced hydrocarbon recovery scheme that is approved by the Minister on or after January 1, 2017.</t>
  </si>
  <si>
    <t>Signs, Financial Penalty, Cables, Presses, Files, Mats, Ducts, Reservoirs, Tags, Pens, Drill, Pins</t>
  </si>
  <si>
    <t>http://www.qp.alberta.ca/documents/Regs/2016_210.pdf</t>
  </si>
  <si>
    <t>Incremental Ethane Extraction Regulation</t>
  </si>
  <si>
    <t>CA-AB-AltaReg150/2007</t>
  </si>
  <si>
    <t>https://legislation.nimonikapp.com/legislations/238340/legislation_texts</t>
  </si>
  <si>
    <t>http://canlii.ca/t/82w5</t>
  </si>
  <si>
    <t>This Regulation is made under the Mines and Minerals Act to help sustain and grow the petrochemical industry in Alberta. It allows petrochemical companies to apply for and earn credits for consuming incremental ethane in the manufacturing of value-added products, such as ethylene, polyethylene, and other derivatives. Petrochemical companies receiving credits under this regulation may use their credits to reduce royalties owing to the Crown in right of Alberta under the Natural Gas Royalty Regulation, 2009, and the Oil Sands Royalty Regulation, 2009, or apply to the Minister to allocate their credits to another royalty client or operator.</t>
  </si>
  <si>
    <t>Signs, Financial Penalty, Presses, Files, Mats, Ducts, Hose, Pans, Ropes, Tables, Tags, Bit, Pens, Gate, Pins</t>
  </si>
  <si>
    <t>http://www.qp.alberta.ca/documents/Regs/2007_150.pdf</t>
  </si>
  <si>
    <t>Natural Gas Deep Drilling Regulation</t>
  </si>
  <si>
    <t>CA-AB-AltaReg224/2008</t>
  </si>
  <si>
    <t>https://legislation.nimonikapp.com/legislations/238341/legislation_texts</t>
  </si>
  <si>
    <t>http://canlii.ca/t/83xq</t>
  </si>
  <si>
    <t>This Regulation is made under the Mines and Minerals Act to encourage new exploration, development and production from deeper and higher cost natural gas wells. The regulation provides royalty credits to companies when they drill deep wells. The royalty credits cover a portion of the drilling and completion costs for eligible wells, and can be used to reduce the royalties payable for eligible wells.</t>
  </si>
  <si>
    <t>Cables, Regulator, Ducts, Gate, Pins, Signs, Hose, Balance, Mats, Dams, Ropes, Bit, Bushings, Financial Penalty, Bearings, Sanction, Violation, Criminal Charge, Tags, Pens, Drill</t>
  </si>
  <si>
    <t>http://www.qp.alberta.ca/570.cfm?frm_isbn=9780779772421&amp;search_by=link</t>
  </si>
  <si>
    <t>http://www.qp.alberta.ca/documents/Regs/2008_224.pdf</t>
  </si>
  <si>
    <t>Petroleum Marketing Regulation</t>
  </si>
  <si>
    <t>CA-AB-AltaReg174/2006</t>
  </si>
  <si>
    <t>https://legislation.nimonikapp.com/legislations/238342/legislation_texts</t>
  </si>
  <si>
    <t>http://canlii.ca/t/83fn</t>
  </si>
  <si>
    <t>This Regulation is made under the Petroleum Marketing Act and the Mines and Minerals Act and establishes the monthly royalty reporting obligations of operators to the Petroleum Registry (Petrinex). It sets out the delivery point for royalty oil, the rules in respect of under delivery and overdelivery of crude oil to the APMC, the penalties in respect of inaccurate forecasting, and the calculation of the trucking allowance.</t>
  </si>
  <si>
    <t>Regulator, Ducts, Pans, Gate, Vises, Pins, Ovens, Signs, Pipe, Tank, Hose, Feeder, Balance, Mats, Energy using equipment, Trucks, Financial Penalty, Tender, Files, Sanction, Violation, Criminal Charge, Cap, Tables, Tags, Pens</t>
  </si>
  <si>
    <t>http://www.qp.alberta.ca/documents/Regs/2006_174.pdf</t>
  </si>
  <si>
    <t>Orphan Fund Delegated Administration Regulation</t>
  </si>
  <si>
    <t>CA-AB-AltaReg45/2001</t>
  </si>
  <si>
    <t>https://legislation.nimonikapp.com/legislations/238343/legislation_texts</t>
  </si>
  <si>
    <t>http://canlii.ca/t/82fz</t>
  </si>
  <si>
    <t>This Regulation delegates the powers, duties, and functions of managing the abandonment and reclamation of orphan wells, pipelines, and facilities from the Alberta Energy Regulator to the Association. The Orphan Fund Delegated Administration Regulation specifies what powers, duties and functions are delegated to the Orphan Well Association (OWA), and provides other powers and duties to enable the proper functioning of the Association as a delegated administrative organization.</t>
  </si>
  <si>
    <t>Signs, Financial Penalty, Cables, Regulator, Mats, Sanction, Violation, Criminal Charge, Cap, Dams, Tables, Pens, Gate</t>
  </si>
  <si>
    <t>http://www.qp.alberta.ca/documents/Regs/2001_045.pdf</t>
  </si>
  <si>
    <t>Draft Directive 023: Oil Sands Project Applications</t>
  </si>
  <si>
    <t>CA-AB-DraftDir.023</t>
  </si>
  <si>
    <t>https://legislation.nimonikapp.com/legislations/242589/legislation_texts</t>
  </si>
  <si>
    <t>https://www.aer.ca/documents/directives/DraftDirective023_20130528.pdf</t>
  </si>
  <si>
    <t>This directive contains requirements for all oil sands project applications or amendment, and specific requirements for various types of oil sands projects. It notably contains descriptions concerning the oil sands project application process and contains general application requirements, stakeholder involvement requirements, and requirements concerning the socioeconomic and environmental information that must be provided in every oil sands project application. It also describes the additional information that must be provided in applications for the construction and the operation of in situ operations, mining operations, and processing plants.</t>
  </si>
  <si>
    <t>Brackets, Cables, Compasses, Collar, Regulator, Bin, Presses, Bur, Ducts, Calipers, Bench, Nuts, Pans, Crusher, Scale, Gate, Vises, Pins, Racks, Mops, Signs, Energy consumption and conservation, Bolt, Pipe, Bottles, Tank, Labels, Studs, Pile, Hose, Ramp, Crusher, Reservoirs, Parallels, Seats, Desks, Level, Floats, Chairs, Balance, Lights, Mats, Dyke, Train, Ropes, Energy using equipment, Bit, Trucks, Bells, Barricade, Scales, Telephones, Financial Penalty, Magnet, Filters, Files, Bearings, Barrier, Shovels, Cap, Tables, Tags, Berm, Pens, Drill, Energy source, Indicators</t>
  </si>
  <si>
    <t>https://www.aer.ca/regulating-development/rules-and-directives/directives/directive-023-draft.html</t>
  </si>
  <si>
    <t>Regulation respecting volatility requirements for certain petroleum products for the period from 9 April 2020 to 30 June 2020</t>
  </si>
  <si>
    <t>CA-QC-OC430-2020</t>
  </si>
  <si>
    <t>https://legislation.nimonikapp.com/legislations/242845/legislation_texts</t>
  </si>
  <si>
    <t>http://www2.publicationsduquebec.gouv.qc.ca/dynamicSearch/telecharge.php?type=1&amp;file=104359.pdf</t>
  </si>
  <si>
    <t>This regulation sets special volatility standards for certain petroleum products in various geographic zones for the period from 9 April 2020 to 30 June 2020.</t>
  </si>
  <si>
    <t>Signs, Financial Penalty, Cables, Presses, Tank, Ducts, Hose, Pans, Tables, Bit, Pins</t>
  </si>
  <si>
    <t>Règlement sur les exigences relatives à la volatilité de certains produits pétroliers pour la période du 9 avril 2020 au 30 juin 2020</t>
  </si>
  <si>
    <t>CA-QC-D430-2020</t>
  </si>
  <si>
    <t>https://legislation.nimonikapp.com/legislations/242846/legislation_texts</t>
  </si>
  <si>
    <t>http://www2.publicationsduquebec.gouv.qc.ca/dynamicSearch/telecharge.php?type=1&amp;file=72420.pdf</t>
  </si>
  <si>
    <t>Ce règlement prévoit des exigences spéciales concernant la volatilité de certains produits pétroliers se trouvant dans diverses zones géographiques pour la période du 9 avril 2020 au 30 juin 2020.</t>
  </si>
  <si>
    <t>CA-SOR/2020-60</t>
  </si>
  <si>
    <t>https://legislation.nimonikapp.com/legislations/242847/legislation_texts</t>
  </si>
  <si>
    <t>http://canlii.ca/t/9q4k</t>
  </si>
  <si>
    <t>This order stands down the application of provisions of the Regulations Respecting Reduction in the Release of Methane and Certain Volatile Organic Compounds (Upstream Oil and Gas Sector) (SOR/2018-66) in British Columbia for the duration of the equivalency agreement between the Federal Government and the Government of the province of British Columbia. It does not apply to federal works or undertakings.</t>
  </si>
  <si>
    <t>Files, Ducts, Mirrors, Cables, Regulator, Presses, Bur, Pans, Scale, Vises, Pins, Signs, Pipe, Studs, Hose, Controllers, Mats, Energy using equipment, Compressors, Scales, Financial Penalty, Pumps, Sanction, Violation, Criminal Charge, Cap, Tables, Pens, Drill</t>
  </si>
  <si>
    <t>http://gazette.gc.ca/rp-pr/p2/2020/2020-04-15/html/sor-dors60-eng.html</t>
  </si>
  <si>
    <t>http://gazette.gc.ca/rp-pr/p2/2020/2020-04-15/pdf/g2-15408.pdf</t>
  </si>
  <si>
    <t>CA-DORS/2020-60</t>
  </si>
  <si>
    <t>https://legislation.nimonikapp.com/legislations/242848/legislation_texts</t>
  </si>
  <si>
    <t>Ce décret suspend l'application de dispositions du Règlement sur la réduction des rejets de méthane et de certains composés organiques volatils (secteur du pétrole et du gaz en amont) (DORS/2018-66) en Colombie-Britannique, pour la durée de l’accord d’équivalence entre le Gouvernement fédéral et le Governement de la province de Colombie-Britannique. Il ne s'applique pas aux entreprises sous juridiction fédérale.</t>
  </si>
  <si>
    <t>http://gazette.gc.ca/rp-pr/p2/2020/2020-04-15/html/sor-dors60-fra.html</t>
  </si>
  <si>
    <t>https://legislation.nimonikapp.com/legislations/245351/legislation_texts</t>
  </si>
  <si>
    <t>This directive sets out the requirements for venting and flaring from oil and gas operations where associated gas is not conserved, such as drilling, completions, well testing and production. It notably contains requirements respecting the venting and flaring of oil wells and oil facilities, the venting and flaring of gas wells and gas facilities, the venting of non-combustible or inert gas mixtures, and temporary well flaring and venting. It also contains non-routine requirements and notification requirements.</t>
  </si>
  <si>
    <t>Waste Management, Air Emissions and Ambient Air Quality, Equipment, Energy Management</t>
  </si>
  <si>
    <t>Desks, Compressors, Tank, Pumps, Controllers, Level, Tables, Cables, Bin, Presses, Ducts, Pans, Gate, Pins, Signs, Pipe, Mats, Ropes, Energy using equipment, Tags, Drill, Mill, Hose, Train, Pens, Valves</t>
  </si>
  <si>
    <t>Protecting Workers, Contractors, and Employers Working in the Natural Resource Sector During the COVID-19 Pandemic</t>
  </si>
  <si>
    <t>CA-BC-PWCEWNRSDCP</t>
  </si>
  <si>
    <t>https://legislation.nimonikapp.com/legislations/246801/legislation_texts</t>
  </si>
  <si>
    <t>https://www2.gov.bc.ca/assets/gov/health/about-bc-s-health-care-system/office-of-the-provincial-health-officer/covid-19/covid-19-pho-guidance-natural-resource-sector-work-camps.pdf</t>
  </si>
  <si>
    <t>This guidance applies to employers, camp operators, workers, and contractors working in the natural resource sector, and living in employer-provided industrial camps during the COVID-19 pandemic. It provides advice and key resources to help employers prevent the risk and spread of COVID-19 on work sites, as well as into communities.</t>
  </si>
  <si>
    <t>Security and Public Safety, Public Health (Food, Disease, Other), Occupational Health, Waste Management, General Facility Design and Operation</t>
  </si>
  <si>
    <t>Alberta achieves preliminary methane reduction deal</t>
  </si>
  <si>
    <t>CA-AB-Prop2020-05-12</t>
  </si>
  <si>
    <t>https://legislation.nimonikapp.com/legislations/246935/legislation_texts</t>
  </si>
  <si>
    <t>https://www.alberta.ca/release.cfm?xID=713366C8E89CA-0099-7CA4-A296674CCD258117</t>
  </si>
  <si>
    <t>The Government of Alberta announced an equivalency agreement with the federal government respecting methane emissions reduction rules. A preliminary version of the agreement has been adopted by the federal and provincial governments, and must now undergo a legislative review and approval by the federal government.
According to the Alberta Government, the equivalency agreement will allow the standing down of federal regulation respecting methane emissions reduction in Alberta, to avoid overlapping with the provincial rules, which are contained in
- &lt;a href="https://nimonikapp.com/legislations/4040" target="_blank"&gt;Directive 017: Measurement Requirements for Oil and Gas Operations (AB.Dir017)&lt;/a&gt;, and 
- &lt;a href="https://nimonikapp.com/legislations/4051" target="_blank"&gt;Directive 060: Upstream Petroleum Industry Flaring, Incinerating, and Venting (AB.Dir060)&lt;/a&gt;.
More information is available &lt;a href="https://www.bennettjones.com/Blogs-Section/Alberta-Ministry-of-Environment-and-Parks-Announces-Equivalency-Agreement" target="_blank"&gt;here&lt;/a&gt;.</t>
  </si>
  <si>
    <t>Order Declaring that the Provisions of the Regulations Respecting Reduction in the Release of Methane and Certain Volatile Organic Compounds (Upstream Oil and Gas Sector) Do Not Apply in Saskatchewan</t>
  </si>
  <si>
    <t>CA-Vol.154,No.20(988)</t>
  </si>
  <si>
    <t>https://legislation.nimonikapp.com/legislations/246937/legislation_texts</t>
  </si>
  <si>
    <t>http://www.gazette.gc.ca/rp-pr/p1/2020/2020-05-16/html/reg1-eng.html</t>
  </si>
  <si>
    <t>The Government of Canada announced its intention to stand down the application of certain federal rules regulating the upstream oil and gas industry’s methane emissions for in Saskatchewan, in the context of the publication of an &lt;a href="http://www.gazette.gc.ca/rp-pr/p1/2020/2020-05-16/html/notice-avis-eng.html#ne1" target="_blank"&gt;equivalency agreement between the Federal Government and the province of Saskatchewan&lt;/a&gt;.
These changes would be implemented by suspending the application of certain provisions of the &lt;a href="https://nimonikapp.com/legislations/109353" target="_blank"&gt;Regulations Respecting Reduction in the Release of Methane and Certain Volatile Organic Compounds (Upstream Oil and Gas Sector) (SOR/2018-66)&lt;/a&gt; in Saskatchewan, which would eliminate regulatory overlap between the federal and provincial requirements for facilities from the upstream oil and gas sector that are not considered federal works or undertakings. 
The facilities that are not considered federal works or undertakings would have to comply with the relevant Saskatchewan methane emissions legislation and directives, such as the
- Oil and Gas Emissions Management Regulations (CA-SK-RSScO-2Reg7),
- Directive PNG036: Venting and Flaring Requirements (CA-SK-Dir.PNG036), and 
- Directive PNG017: Measurement Requirements for Oil and Gas Operations (CA-SK-Dir.PNG017).
According to the federal Government, the application of the provisions of the Regulations Respecting Reduction in the Release of Methane and Certain Volatile Organic Compounds (Upstream Oil and Gas Sector) would remain suspended in Saskatchewan for the duration of the equivalency agreement, which is scheduled to end on December 31, 2024.
Interested persons can make comments concerning these changes until July 15, 2020.</t>
  </si>
  <si>
    <t>http://www.gazette.gc.ca/rp-pr/p1/2020/2020-05-16/pdf/g1-15420.pdf</t>
  </si>
  <si>
    <t>Décret déclarant que le Règlement sur la réduction des rejets de méthane et de certains composés organiques volatils (secteur du pétrole et du gaz en amont) ne s’applique pas dans la province de la Saskatchewan</t>
  </si>
  <si>
    <t>CA-Vol.154,No.20(988).fr</t>
  </si>
  <si>
    <t>https://legislation.nimonikapp.com/legislations/246938/legislation_texts</t>
  </si>
  <si>
    <t>http://www.gazette.gc.ca/rp-pr/p1/2020/2020-05-16/html/reg1-fra.html</t>
  </si>
  <si>
    <t>Le gouvernement du Canada a annoncé son intention de suspendre l’application de dispositions de la réglementation fédérale régissant les émissions de méthane du secteur pétrolier et gazier en amont en Saskatchewan, dans le cadre de la publication d’un &lt;a href="http://www.gazette.gc.ca/rp-pr/p1/2020/2020-05-16/html/notice-avis-fra.html" target="_blank"&gt;accord d’équivalence entre le gouvernement fédéral et la province&lt;/a&gt;.
Ces changements seraient mis en œuvre en suspendant l’application de certaines dispositions du &lt;a href="https://nimonikapp.com/legislations/109353" target="_blank"&gt;Règlement sur la réduction des rejets de méthane et de certains composés organiques volatils (secteur du pétrole et du gaz en amont) (DORS/2018-66)&lt;/a&gt; en Saskatchewan, ce qui éliminerait le chevauchement réglementaire entre les exigences fédérales et provinciales pour les installations du secteur pétrolier et gazier en amont qui ne sont pas considérées comme des ouvrages ou entreprises de compétence fédérale.
Les installations qui ne sont pas considérées comme des ouvrages ou entreprises de compétence fédérale auraient à se conformer à la législation et aux directives pertinentes de la Saskatchewan en matière d'émissions de méthane, telles que
- le Oil and Gas Emissions Management Regulations (CA-SK-RSScO-2Reg7) ,
- la Directive PNG036: Venting and Flaring Requirements (CA-SK-Dir.PNG036) , et 
- la Directive PNG017: Measurement Requirements for Oil and Gas Operations (CA-SK-Dir.PNG017).
Selon le gouvernement fédéral, l’application des dispositions du Règlement sur la réduction des rejets de méthane et de certains composés organiques volatils (secteur du pétrole et du gaz en amont) resterait suspendue en Saskatchewan pour la durée de l’accord d’équivalence, qui doit prendre fin le 31 décembre 2024.
Les personnes intéressées peuvent faire des commentaires concernant ces changements jusqu’au 15 juillet 2020.</t>
  </si>
  <si>
    <t>Joint Operating Procedures for First Nations Consultation on Energy Resource Activities</t>
  </si>
  <si>
    <t>CA-AB-2018-10-31</t>
  </si>
  <si>
    <t>https://legislation.nimonikapp.com/legislations/248586/legislation_texts</t>
  </si>
  <si>
    <t>https://www.aer.ca/documents/actregs/JointOperatingProcedures.pdf</t>
  </si>
  <si>
    <t>The Joint Operating Procedures for First Nations Consultation on Energy Resource Activities (JOP) sets out the procedures to administer and coordinate the operations of the Aboriginal Consultation Office (ACO) and Alberta Energy Regulator (AER) on matters relating to the Ministerial Order (Energy 105/2014 and ESRD 53/2014). The ministerial order provides direction to the AER to ensure that the AER considers and makes decisions in respect of energy applications in a manner that is consistent with the work of the Government of Alberta.</t>
  </si>
  <si>
    <t>Cables, Regulator, Bin, Bur, Ducts, Pans, Gate, Vises, Racks, Signs, Fuse, Hose, Level, Mats, Financial Penalty, Files, Counters, Tables, Tags, Pens</t>
  </si>
  <si>
    <t>https://www.aer.ca/protecting-what-matters/giving-albertans-a-voice/indigenous-engagement/aboriginal-consultations.html</t>
  </si>
  <si>
    <t>Notice with respect to the availability of an equivalency agreement</t>
  </si>
  <si>
    <t>CA-Vol.154,No.23(1061)</t>
  </si>
  <si>
    <t>https://legislation.nimonikapp.com/legislations/249039/legislation_texts</t>
  </si>
  <si>
    <t>http://www.gazette.gc.ca/rp-pr/p1/2020/2020-06-06/html/notice-avis-eng.html#ne4</t>
  </si>
  <si>
    <t>The Government of Canada announced its intention to enter into an &lt;a href="https://www.canada.ca/en/environment-climate-change/services/canadian-environmental-protection-act-registry/agreements/equivalency/consultation-canada-alberta-methane-oil-gas.html" target="_blank"&gt;equivalency agreement&lt;/a&gt; with the Government of Alberta concerning the regulation of methane emissions by the oil and gas industry.
This agreement will pave the way for the suspension of certain provisions of the Regulations Respecting Reduction in the Release of Methane and Certain Volatile Organic Compounds (Upstream Oil and Gas Sector) (SOR/2018-66) in Alberta.
Interested persons can make comments concerning these changes until August 5, 2020.</t>
  </si>
  <si>
    <t>http://www.gazette.gc.ca/rp-pr/p1/2020/2020-06-06/pdf/g1-15423.pdf</t>
  </si>
  <si>
    <t>Avis de disponibilité d’un accord d’équivalence</t>
  </si>
  <si>
    <t>CA-Vol.154,No.23(1061).fr</t>
  </si>
  <si>
    <t>https://legislation.nimonikapp.com/legislations/249040/legislation_texts</t>
  </si>
  <si>
    <t>http://www.gazette.gc.ca/rp-pr/p1/2020/2020-06-06/html/notice-avis-fra.html#ne4</t>
  </si>
  <si>
    <t>Le gouvernement du Canada a annoncé son intention de conclure un &lt;a href="https://www.canada.ca/fr/environnement-changement-climatique/services/registre-environnemental-loi-canadienne-protection/accords/equivalence/consultation-canada-alberta-methane-petrole-gaz.html" target="_blank"&gt;accord d’équivalence&lt;/a&gt; avec le gouvernement de l’Alberta concernant la réglementation des émissions de méthane par l’industrie pétrolière et gazière.
Cet accord va ouvrir la voie à la suspension de certaines dispositions du Règlement sur la réduction des rejets de méthane et de certains composés organiques volatils (secteur du pétrole et du gaz en amont) (DORS/2018-66) en Alberta.
Les personnes intéressées peuvent faire des commentaires concernant ces changements jusqu’au 5 août 2020.</t>
  </si>
  <si>
    <t>Order Declaring that the Provisions of the Regulations Respecting Reduction in the Release of Methane and Certain Volatile Organic Compounds (Upstream Oil and Gas Sector) Do Not Apply in Alberta</t>
  </si>
  <si>
    <t>CA-Vol.154,No.23(1118)</t>
  </si>
  <si>
    <t>https://legislation.nimonikapp.com/legislations/249041/legislation_texts</t>
  </si>
  <si>
    <t>http://www.gazette.gc.ca/rp-pr/p1/2020/2020-06-06/html/reg1-eng.html</t>
  </si>
  <si>
    <t>The Government of Canada announced its intention to stand down the application of certain federal rules regulating the upstream oil and gas industry’s methane emissions in Alberta, in the context of the publication of an &lt;a href="http://www.gazette.gc.ca/rp-pr/p1/2020/2020-06-06/html/notice-avis-eng.html#ne4" target="_blank"&gt;equivalency agreement between the Federal Government and the province of Alberta&lt;/a&gt;.
These changes would be implemented by suspending the application of provisions of the Regulations Respecting Reduction in the Release of Methane and Certain Volatile Organic Compounds (Upstream Oil and Gas Sector) (SOR/2018-66) in Alberta, which would eliminate regulatory overlap between the federal and provincial requirements for facilities from the upstream oil and gas sector that are not considered federal works or undertakings. 
The facilities that are not considered federal works or undertakings would have to comply with the relevant Alberta methane emissions legislation and directives, such as the
- Methane Emission Reduction Regulation (CA-AB-AltaReg244/2018),
- Directive 060: Upstream Petroleum Industry Flaring, Incinerating, and Venting (AB.Dir060), and 
- Directive 017: Measurement Requirements for Oil and Gas Operations (AB.Dir017).
According to the federal Government, the application of the provisions of the Regulations Respecting Reduction in the Release of Methane and Certain Volatile Organic Compounds (Upstream Oil and Gas Sector) would remain suspended in Alberta for the duration of the equivalency agreement, which is planned to have a duration of 5 years.
Interested persons can make comments concerning these changes until August 5, 2020.</t>
  </si>
  <si>
    <t>Décret déclarant que le Règlement sur la réduction des rejets de méthane et de certains composés organiques volatils (secteur du pétrole et du gaz en amont) ne s’applique pas dans la province d’Alberta</t>
  </si>
  <si>
    <t>CA-Vol.154,No.23(1118).fr</t>
  </si>
  <si>
    <t>https://legislation.nimonikapp.com/legislations/249042/legislation_texts</t>
  </si>
  <si>
    <t>http://www.gazette.gc.ca/rp-pr/p1/2020/2020-06-06/html/reg1-fra.html</t>
  </si>
  <si>
    <t>Le gouvernement du Canada a annoncé son intention de suspendre l’application de dispositions de la réglementation fédérale régissant les émissions de méthane du secteur pétrolier et gazier en amont en Alberta, dans le cadre de la publication d’un &lt;a href="http://www.gazette.gc.ca/rp-pr/p1/2020/2020-06-06/html/notice-avis-fra.html#ne4" target="_blank"&gt;accord d’équivalence entre le gouvernement fédéral et la province&lt;/a&gt;.
Ces changements seraient mis en œuvre en suspendant l’application de certaines dispositions du Règlement sur la réduction des rejets de méthane et de certains composés organiques volatils (secteur du pétrole et du gaz en amont) (DORS/2018-66) en Alberta, ce qui éliminerait le chevauchement réglementaire entre les exigences fédérales et provinciales pour les installations du secteur pétrolier et gazier en amont qui ne sont pas considérées comme des ouvrages ou entreprises de compétence fédérale.
Les installations qui ne sont pas considérées comme des ouvrages ou entreprises de compétence fédérale auraient à se conformer à la législation et aux directives pertinentes de l’Alberta en matière d'émissions de méthane, telles que
- le Methane Emission Reduction Regulation (CA-AB-AltaReg244/2018) ,
- la Directive 060: Upstream Petroleum Industry Flaring, Incinerating, and Venting (AB.Dir060) , et
- la Directive 017: Measurement Requirements for Oil and Gas Operations (AB.Dir017).
Selon le gouvernement fédéral, l’application des dispositions du Règlement sur la réduction des rejets de méthane et de certains composés organiques volatils (secteur du pétrole et du gaz en amont) resterait suspendue en Alberta pour la durée de l’accord d’équivalence, qui devrait être d’une durée de cinq ans.
Les personnes intéressées peuvent faire des commentaires concernant ces changements jusqu’au 5 août 2020.</t>
  </si>
  <si>
    <t>Deadline Extension for Electronic Line Leak Detection Upgrade</t>
  </si>
  <si>
    <t>CA-ON-ERO-019-1926</t>
  </si>
  <si>
    <t>https://legislation.nimonikapp.com/legislations/249853/legislation_texts</t>
  </si>
  <si>
    <t>https://ero.ontario.ca/notice/019-1926</t>
  </si>
  <si>
    <t>The Government of Ontario announced its intention to give more time to the oil and gas industry to complete the upgrade of “pre-2006 underground double wall piping with Electronic Line Leak Detection”.
The change would extend the deadline from October 1, 2020 to October 1, 2021.
Interested persons are invited to make comments by July 12, 2020.</t>
  </si>
  <si>
    <t>Oil Sands Tenure Regulation, 2020</t>
  </si>
  <si>
    <t>CA-AB-AltaReg92/2020</t>
  </si>
  <si>
    <t>https://legislation.nimonikapp.com/legislations/251555/legislation_texts</t>
  </si>
  <si>
    <t>http://canlii.ca/t/9q8l</t>
  </si>
  <si>
    <t>This regulation contains various details concerning oil sand agreements, such as the rights conveyed by the agreement, the maximum area of the location of the agreement, the annual rental, the application for lease issued out of permit, and the term of a primary lease. It also provides for the continuation of leases and escalating rental.</t>
  </si>
  <si>
    <t>Signs, Fuse, Financial Penalty, Regulator, Mats, Ducts, Sanction, Violation, Criminal Charge, Hose, Pans, Level, Ropes, Bit, Pens, Drill, Pins</t>
  </si>
  <si>
    <t>AltaReg196/2010</t>
  </si>
  <si>
    <t>Clear rules advance cleanup of oil and gas wells</t>
  </si>
  <si>
    <t>CA-AB-Prop-2020-07-30</t>
  </si>
  <si>
    <t>https://legislation.nimonikapp.com/legislations/393615/legislation_texts</t>
  </si>
  <si>
    <t>https://www.alberta.ca/release.cfm?xID=72928417D69DB-F217-3A72-879326E24DAF392D</t>
  </si>
  <si>
    <t>The Government of Alberta announced its intention to adopt a new framework to manage oil and gas infrastructure cleanup and reclamation.
According to the Alberta government, the new framework would
- be based upon the polluter-pay principle, allocating the cost of cleanup to the industry,
- modify the way the capabilities of oil and gas operators to meet their regulatory liabilities obligations are assessed prior to regulatory approval,
- provide "practical guidance and proactive support for struggling operators, helping them to manage and maximize their assets, and maintain their operations",
- establish "five-year rolling spending targets for reclamation that every active site operator must meet",
- establish "a formal opt-in mechanism for landowners to nominate sites for cleanup", and
- implement "a process to address legacy and post-closure sites – or sites that were abandoned, remediated or reclaimed before current standards were put in place, and sites that have received reclamation certificates and the operator’s liability period has lapsed".</t>
  </si>
  <si>
    <t>Protecting Industrial Camp Workers, Contractors, and Employers Working in the Agricultural, Forestry, and Natural Resource Sectors During the COVID-19 Pandemic</t>
  </si>
  <si>
    <t>CA-BC-PICWCEWAFNRSCP</t>
  </si>
  <si>
    <t>oil_and_gas, forestry, mining_and_minerals_industry, agriculture_industry</t>
  </si>
  <si>
    <t>https://legislation.nimonikapp.com/legislations/397426/legislation_texts</t>
  </si>
  <si>
    <t>http://www.bccdc.ca/Health-Info-Site/Documents/COVID_public_guidance/All-sector-work-camps-guidance.pdf</t>
  </si>
  <si>
    <t>This document sets out guidance for employers, camp operators, workers, contractors, and temporary foreign workers working in the agricultural, forestry, and natural resource sectors, and living in employer-provided industrial camps during the COVID-19 pandemic. It notably includes recommendations on completing a workplace risk assessment at a work camp, worker education, increasing hygiene and cleaning practices, physical distancing during work and breaks, transportation for workers, handling tools and equipment, face masks, First Nations communities and First Nations health centers, the monitoring of workers' health, and worker accommodation.</t>
  </si>
  <si>
    <t>Safety Management, Occupational Health</t>
  </si>
  <si>
    <t>CA-BC-PWLICDCP, CA-BC-PFWTWDCP, CA-BC-PECEWSSDCP</t>
  </si>
  <si>
    <t>https://www2.gov.bc.ca/gov/content/health/about-bc-s-health-care-system/office-of-the-provincial-health-officer/current-health-topics/covid-19-novel-coronavirus</t>
  </si>
  <si>
    <t>https://legislation.nimonikapp.com/legislations/397807/legislation_texts</t>
  </si>
  <si>
    <t>https://www.bcogc.ca/files/operations-documentation/Oil-and-Gas-Operations-Manual/oil-and-gas-activity-operations-manual.pdf</t>
  </si>
  <si>
    <t>According to the BC Oil and Gas Commission, this document "is a collection of requirements for permit holders, outlining the regulatory and guidance conditions for construction, operation, deactivation and reclamation of oil and gas and associated activities." The document "references guides, forms, tables and definitions to assist in creating and submitting required operational information."</t>
  </si>
  <si>
    <t>Natural Resource Management, Waste Management, Water Use and Wastewater Management, Safety Management, Environment Management, Security and Public Safety, Air Emissions and Ambient Air Quality, Land Use, Privacy and Access to Information, Occupational Health, Emergency Preparedness and Response, Hazardous Materials Management, Equipment, Energy Management, Fines, Penalties and Sanctions, Communications and Utilities, Wildlife and Land Conservation, Chemicals Management, Financial Administration, Accounting, Charges</t>
  </si>
  <si>
    <t>Mill, Plugs, Drill, Pipe, Pumps, Indicators, Hammers, Sleeving, Gauges, Enclosures, Handles, Alarms, Tubing, Pressure Gauges, Manifolds, Lights, Collar, Fittings, Tank, Recorders, Welders, Reservoirs, Helicopters, Conduits, Pump jacks, Brushes, Valves, Jacks, Gate, Wheels, Horns, Hand Wheels, Pipe Fittings, Hose, Pens, Cap, Labels, Markers, Regulator, Tables, Files, Chain, Barrier, Train, Level, Timber, Gearshift, Motor vehicle, Vehicle, Motors, Bit, Switches, Wire, Scales, Boxes, Signs, Dyke, Compressors, Ducts, Generators, Heaters, Springs, Mops, Tap, Thermoelectric generators, Storage Buildings, Trucks, Bearings, Belts, Heat Exchangers, Sieves, Header, Filters, Compasses, Bin, Pins, Ovens, Energy using equipment, Bells, Cables, Sights, Studs, Oilers, Counters, Sanction, Violation, Criminal Charge, Tags, Gauge, Nuts, Scale, Fuse, Relay, Desks, Safety Cans, Balance, Mats, Ropes, Deck, Financial Penalty, Magnet, Presses, Bur, Pans, Vises, Racks, Pile, Bags, Dams, Screen</t>
  </si>
  <si>
    <t>https://www.bcogc.ca/energy-professionals/operations-documentation/oil-and-gas-activity-operations-manual/</t>
  </si>
  <si>
    <t>Regulations Amending the Sulphur in Gasoline Regulations</t>
  </si>
  <si>
    <t>CA-Vol.154,No.35(2115)</t>
  </si>
  <si>
    <t>https://legislation.nimonikapp.com/legislations/398937/legislation_texts</t>
  </si>
  <si>
    <t>http://www.gazette.gc.ca/rp-pr/p1/2020/2020-08-29/html/reg2-eng.html</t>
  </si>
  <si>
    <t>The Government of Canada announced its intention to modify the rules respecting the sulphur limit for gasoline to “re-enact the temporary [sulphur compliance units (SCUs)] trading system [...] for the years 2020 to 2025”.
According to the canadian government,
- the “temporary trading system would be available to regulated parties electing to participate in the annual pool average compliance option”,
- the changes “would enable regulated parties to transfer into the re-enacted temporary trading system the surplus balances of SCUs that they generated or received in trade in the expired trading system and owned as of March 31, 2020”, and
- the changes “would also provide regulated parties with the option to generate, trade or bank SCUs within the temporary trading system for use during the 2020–2025 period”.
The changes would be implemented by amending the Sulphur in Gasoline Regulations (SOR/99-236).
Interested persons can make comments concerning these changes until October 28, 2020.</t>
  </si>
  <si>
    <t>http://www.gazette.gc.ca/rp-pr/p1/2020/2020-08-29/pdf/g1-15435.pdf</t>
  </si>
  <si>
    <t>Règlement modifiant le Règlement sur le soufre dans l’essence</t>
  </si>
  <si>
    <t>CA-Vol.154,No.35(2115).fr</t>
  </si>
  <si>
    <t>https://legislation.nimonikapp.com/legislations/398938/legislation_texts</t>
  </si>
  <si>
    <t>http://www.gazette.gc.ca/rp-pr/p1/2020/2020-08-29/html/reg2-fra.html</t>
  </si>
  <si>
    <t>Le Gouvernement du Canada a annoncé son intention de modifier les règles concernant les limites des quantités de soufre dans l’essence, afin de « reconstituer le système temporaire d’échange [d’unités de conformité de soufre (UCS) pour les années 2020 à 2025 ». 
Selon le gouvernement canadien, 
- le système « serait offert aux parties [...] qui choisissent de participer à l’option de conformité de la concentration moyenne annuelle de l’ensemble des lots » ,
- les changements « permettraient aux parties visées par le Règlement de transférer au système temporaire d’échange actuel les surplus d’UCS générées ou reçues en échange dans l’ancien système d’échange et détenues au 31 mars 2020 » , et
- les changements « fourniraient aussi aux parties visées par le Règlement l’option de générer, d’échanger ou de mettre en banque les UCS dans le système temporaire d’échange afin de les utiliser pendant la période 2020-2025 ».
Les changements seraient implémentés en modifiant le Règlement sur le soufre dans l'essence (SOR/99-236).
Les personnes intéressées peuvent faire des commentaires concernant ces changements jusqu’au 28 octobre 2020.</t>
  </si>
  <si>
    <t>Regulation respecting the liquid effluents of petroleum refineries</t>
  </si>
  <si>
    <t>CA-QC-CQLRcQ-2,r16</t>
  </si>
  <si>
    <t>https://legislation.nimonikapp.com/legislations/399768/legislation_texts</t>
  </si>
  <si>
    <t>http://canlii.ca/t/7tjz</t>
  </si>
  <si>
    <t>This regulation requires an authorisation and an environmental impact study for the construction of new petroleum refineries. It notably sets standards respecting liquid effluents for new and existing petroleum refineries, and sets requirements with respect to the testing and the measurements of contaminants, and with respect to notifications to the government.</t>
  </si>
  <si>
    <t>Environment Management, Water Use and Wastewater Management, Waste Management, Equipment, Energy Management, Fines, Penalties and Sanctions</t>
  </si>
  <si>
    <t>Ballasts, Reservoirs, Heat Exchangers, Tank, Tables, Files, Ducts, Mill, Gate, Signs, Hose, Mats, Ropes, Energy using equipment, Financial Penalty, Sanction, Violation, Criminal Charge, Cap, Pens</t>
  </si>
  <si>
    <t>Règlement sur les effluents liquides des raffineries de pétrole</t>
  </si>
  <si>
    <t>CA-QC-RLRQcQ-2,r16</t>
  </si>
  <si>
    <t>https://legislation.nimonikapp.com/legislations/399769/legislation_texts</t>
  </si>
  <si>
    <t>http://canlii.ca/t/cjn9</t>
  </si>
  <si>
    <t>Ce règlement exige une autorisation et une étude d'impact sur l'environnement pour la construction de nouvelles raffineries de pétrole. Il prévoit entre autres des normes concernant les effluents liquides pour les nouvelles raffineries de pétrole et les raffineries existantes et contient des exigences en matière de surveillance et d'analyse des contaminants et de notification au gouvernement.</t>
  </si>
  <si>
    <t>CA-Bill-C-229(43-2)</t>
  </si>
  <si>
    <t>https://legislation.nimonikapp.com/legislations/400171/legislation_texts</t>
  </si>
  <si>
    <t>https://parl.ca/DocumentViewer/en/43-2/bill/C-229/first-reading</t>
  </si>
  <si>
    <t>This bill has been reinstated from the previous Parliament session.
A bill has been introduced by a member of parliament part of the opposition to put an end to the oil tanker moratorium.
According to Transport Canada, the oil tanker moratorium “prohibits oil tankers carrying more than 12,500 metric tons of crude oil or persistent oil products as cargo from stopping, loading or unloading at ports or marine installations in the moratorium area”. This area extends from “the Canada/United States border in the north, down to the point on British Columbia’s mainland across from the northern tip of Vancouver Island”.
More information about the oil tanker moratorium is available &lt;a href="https://tc.canada.ca/en/marine-transportation/marine-safety/oil-tanker-moratorium-british-columbia-s-north-coast" target="_blank"&gt;here&lt;/a&gt;.</t>
  </si>
  <si>
    <t>https://www.parl.ca/LegisInfo/BillDetails.aspx?Language=E&amp;billId=10866217</t>
  </si>
  <si>
    <t>CA-PL-C-229(43-2)</t>
  </si>
  <si>
    <t>https://legislation.nimonikapp.com/legislations/400172/legislation_texts</t>
  </si>
  <si>
    <t>https://parl.ca/DocumentViewer/fr/43-2/projet-loi/C-229/premiere-lecture</t>
  </si>
  <si>
    <t>Ce projet de loi a été rétabli de la session parlementaire précédente.
Un projet de loi a été introduit par un député membre de l’opposition afin de mettre fin au moratoire sur les pétroliers.
Selon Transport Canada, le moratoire interdit aux « pétroliers qui transportent des cargaisons contenant plus de 12 500 tonnes métriques de pétrole brut ou d’hydrocarbures persistants [de] s’arrêter et charger ou décharger ces cargaisons dans les ports et les installations maritimes dans la zone du moratoire ». Cette zone s’étend « de la frontière nord canado-américaine vers le sud, jusqu’au point situé sur la partie continentale de la Colombie-Britannique adjacente à la pointe nord de l’île de Vancouver ».
Pour davantage d’informations à propos du moratoire sur les pétroliers, veuillez suivre le &lt;a href="https://tc.canada.ca/fr/transport-maritime/securite-maritime/moratoire-circulation-petroliers-long-nord-cote-britanno-colombienne" target="_blank"&gt;lien suivant&lt;/a&gt;.</t>
  </si>
  <si>
    <t>https://www.parl.ca/LegisInfo/BillDetails.aspx?billId=10866217&amp;Language=F</t>
  </si>
  <si>
    <t>CA-AB-AltaReg70/2019</t>
  </si>
  <si>
    <t>https://legislation.nimonikapp.com/legislations/400329/legislation_texts</t>
  </si>
  <si>
    <t>http://canlii.ca/t/96lq</t>
  </si>
  <si>
    <t>This regulation defines fees and rates payable by operators of wells, coal mines and oil sands projects.</t>
  </si>
  <si>
    <t>https://www.qp.alberta.ca/documents/gazette/2019/pdf/14_Jul31_Part2.pdf</t>
  </si>
  <si>
    <t>Regulations Amending the Marine Liability and Information Return Regulations (Exporters)</t>
  </si>
  <si>
    <t>CA-Vol.154,No.41(2772)</t>
  </si>
  <si>
    <t>https://legislation.nimonikapp.com/legislations/401700/legislation_texts</t>
  </si>
  <si>
    <t>http://www.gazette.gc.ca/rp-pr/p1/2020/2020-10-10/html/reg5-eng.html</t>
  </si>
  <si>
    <t>The Government of Canada announced its intention to change the rules respecting the export of oil by sea to include new reporting requirements.
According to the Government of Canada, the changes would notably
- require exporters “to report the total quantities of each type of persistent or non-persistent oil they have exported in bulk as cargo on a ship, if, in a calendar year, they export” more than the prescribed quantity of persistent or non-persistent oil,
- define “the required content of [the] submission, in line with current reporting requirements for receivers of oil”,
- require non-persistent oil exporters to “provide the name of the person for whom they exported the oil or the name of the person who exported oil on their behalf, if another party was involved in exporting oil”,
- require “that the agent report the name of the principal and the type and quantity of non-persistent oil exported on the principal’s behalf and that the principal report the name of the agent and the type and quantity of non-persistent oil exported from the agent”, and
- require “that reports on exported oil for a calendar year be filed on an annual basis no later than February 28 of the following calendar year”.
These changes would be implemented by amending the Marine Liability and Information Return Regulations (SOR/2016-307).
Interested persons can make comments concerning these changes until November 9, 2020.</t>
  </si>
  <si>
    <t>http://www.gazette.gc.ca/rp-pr/p1/2020/2020-10-10/pdf/g1-15441.pdf</t>
  </si>
  <si>
    <t>Règlement modifiant le Règlement sur la responsabilité en matière maritime et les déclarations de renseignements (exportateurs)</t>
  </si>
  <si>
    <t>CA-Vol.154,No.41(2772).fr</t>
  </si>
  <si>
    <t>https://legislation.nimonikapp.com/legislations/401701/legislation_texts</t>
  </si>
  <si>
    <t>http://www.gazette.gc.ca/rp-pr/p1/2020/2020-10-10/html/reg5-fra.html</t>
  </si>
  <si>
    <t>Le gouvernement du Canada a annoncé son intention de modifier les règles entourant l’exportation d’hydrocarbures par navire, afin d’y inclure de nouvelles obligations en matière de déclarations.
Selon le gouvernement du Canada, les changements auraient entre autres pour effets
- d’exiger des exportateurs qu’ils « déclarent les quantités totales de chaque type d’hydrocarbures persistants ou non persistants qu’ils ont exportés en vrac, par navire, en tant que cargaison, si, au cours d’une année civile, ils exportent » plus que les quantités d’hydrocarbures persistants ou non-persistants prévues ,
- d’établir « ce que doit contenir une telle déclaration, conformément aux exigences actuelles en matière de déclaration visant les réceptionnaires d’hydrocarbures » ,
- d’exiger des exportateurs d’hydrocarbures non-persistants qu’ils fournissent « le nom de la personne pour laquelle ils ont exporté les hydrocarbures ou de celle ayant exporté les hydrocarbures en leur nom, si un tiers a participé à l’exportation d’hydrocarbures » ,
- d’exiger que « le mandataire déclare le nom du mandant ainsi que le type et la quantité d’hydrocarbures non persistants exportés au nom du mandant et que le mandant déclare le nom du mandataire ainsi que le type et la quantité d’hydrocarbures non persistants exportés par le mandataire » , et
- d’exiger « le dépôt annuel d’une déclaration concernant les hydrocarbures exportés au cours d’une année civile au plus tard le 28 février de l’année suivante ».
Ces changements seraient implémentés en modifiant le Règlement sur la responsabilité en matière maritime et les déclarations de renseignements (DORS/2016-307).
Les personnes intéressées peuvent faire des commentaires concernant ces changements jusqu’au 9 novembre 2020.</t>
  </si>
  <si>
    <t>Biofuels Mandates and Renewable Fuels in Manitoba</t>
  </si>
  <si>
    <t>CA-MB-Prop-2020-10-14</t>
  </si>
  <si>
    <t>https://reg.gov.mb.ca/detail/3340256</t>
  </si>
  <si>
    <t>The Government of Manitoba announced its intention to modify various rules respecting biofuels.
According to the Manitoba Government, the changes would notably
- add "the latest fuel standards for ethanol blended gasoline",
- increase "ethanol content from 8.5% to 10%" in gasoline,
- increase "renewable fuel content of diesel from 2% to 5%",
- adjust "the compliance formula [and the shortfall calculation] to reflect the [diesel] 5% blending requirement",
- add "the latest fuel standards for biodiesel and renewable diesel sold or offered for sale in Manitoba",
- add "the latest fuel standards for biodiesel blends eligible under the Biodiesel Mandate",
- remove "the non-commercial biodiesel manufacturing licence class",
- clarify "the conditions required to hold a commercial biodiesel manufacturing licence", and
- remove certain reporting requirements.
These changes would be implemented by amending the:
- Ethanol General Regulation (Man.Reg.165/2007),
- Biodiesel Mandate For Diesel Fuel Regulation (Man.Reg.147/2009), and
- Biodiesel (General) Regulation (Man.Reg.178/2008).</t>
  </si>
  <si>
    <t>Alberta lifts curtailment as of December 2020</t>
  </si>
  <si>
    <t>CA-AB-Prop-2020-10-23</t>
  </si>
  <si>
    <t>https://legislation.nimonikapp.com/legislations/404047/legislation_texts</t>
  </si>
  <si>
    <t>https://www.alberta.ca/release.cfm?xID=7453839D1E00E-BF57-7D73-26FA912B970B113E</t>
  </si>
  <si>
    <t>The Government of Alberta announced its intention to lift oil production limits. The regulatory authority to curtail oil production will be extended through December 2021, but the government “does not plan to resume” oil production limits.</t>
  </si>
  <si>
    <t>CA-SOR/2020-233</t>
  </si>
  <si>
    <t>https://legislation.nimonikapp.com/legislations/405022/legislation_texts</t>
  </si>
  <si>
    <t>http://canlii.ca/t/b594</t>
  </si>
  <si>
    <t>This order stands down the application of provisions of the Regulations Respecting Reduction in the Release of Methane and Certain Volatile Organic Compounds (Upstream Oil and Gas Sector) (SOR/2018-66) in Alberta for the duration of the equivalency agreement between the Federal Government and the Government of the province of Alberta. It does not apply to federal works or undertakings.</t>
  </si>
  <si>
    <t>Ducts, Cables, Regulator, Bin, Presses, Bur, Pans, Scale, Pins, Signs, Pipe, Tank, Hose, Controllers, Parallels, Level, Mats, Energy using equipment, Compressors, Scales, Financial Penalty, Respirators, Files, Pumps, Sanction, Violation, Criminal Charge, Tables, Tags, Pens, Tap</t>
  </si>
  <si>
    <t>http://www.gazette.gc.ca/rp-pr/p2/2020/2020-11-11/html/sor-dors233-eng.html</t>
  </si>
  <si>
    <t>http://www.gazette.gc.ca/rp-pr/p2/2020/2020-11-11/pdf/g2-15423.pdf</t>
  </si>
  <si>
    <t>CA-DORS/2020-233</t>
  </si>
  <si>
    <t>https://legislation.nimonikapp.com/legislations/405023/legislation_texts</t>
  </si>
  <si>
    <t>http://canlii.ca/t/fvdg</t>
  </si>
  <si>
    <t>Ce décret suspend l'application de dispositions du Règlement sur la réduction des rejets de méthane et de certains composés organiques volatils (secteur du pétrole et du gaz en amont) (DORS/2018-66) en Alberta, pour la durée de l’accord d’équivalence entre le Gouvernement fédéral et le Governement de la province de l'Alberta. Il ne s'applique pas aux entreprises sous juridiction fédérale.</t>
  </si>
  <si>
    <t>http://www.gazette.gc.ca/rp-pr/p2/2020/2020-11-11/html/sor-dors233-fra.html</t>
  </si>
  <si>
    <t>CA-SOR/2020-234</t>
  </si>
  <si>
    <t>https://legislation.nimonikapp.com/legislations/405024/legislation_texts</t>
  </si>
  <si>
    <t>http://canlii.ca/t/b593</t>
  </si>
  <si>
    <t>This order stands down the application of provisions of the Regulations Respecting Reduction in the Release of Methane and Certain Volatile Organic Compounds (Upstream Oil and Gas Sector) (SOR/2018-66) in Saskatchewan for the duration of the equivalency agreement between the Federal Government and the Government of the province of Saskatchewan. It does not apply to federal works or undertakings.</t>
  </si>
  <si>
    <t>Ducts, Cables, Regulator, Presses, Bur, Pans, Scale, Pins, Signs, Pipe, Tank, Hose, Controllers, Parallels, Level, Mats, Energy using equipment, Compressors, Scales, Financial Penalty, Files, Pumps, Sanction, Violation, Criminal Charge, Tables, Tags, Pens, Tap</t>
  </si>
  <si>
    <t>http://www.gazette.gc.ca/rp-pr/p2/2020/2020-11-11/html/sor-dors234-eng.html</t>
  </si>
  <si>
    <t>CA-DORS/2020-234</t>
  </si>
  <si>
    <t>https://legislation.nimonikapp.com/legislations/405025/legislation_texts</t>
  </si>
  <si>
    <t>http://canlii.ca/t/fvdf</t>
  </si>
  <si>
    <t>Ce décret suspend l'application de dispositions du Règlement sur la réduction des rejets de méthane et de certains composés organiques volatils (secteur du pétrole et du gaz en amont) (DORS/2018-66) en Saskatchwan, pour la durée de l’accord d’équivalence entre le Gouvernement fédéral et le Governement de la province de la Saskatchewan. Il ne s'applique pas aux entreprises sous juridiction fédérale.</t>
  </si>
  <si>
    <t>http://www.gazette.gc.ca/rp-pr/p2/2020/2020-11-11/html/sor-dors234-fra.html</t>
  </si>
  <si>
    <t>Reduction in the Release of Volatile Organic Compounds Regulations (Petroleum Sector)</t>
  </si>
  <si>
    <t>CA-SOR/2020-231</t>
  </si>
  <si>
    <t>https://legislation.nimonikapp.com/legislations/405085/legislation_texts</t>
  </si>
  <si>
    <t>http://canlii.ca/t/b595</t>
  </si>
  <si>
    <t>These regulations contain requirements for certain facilities producing liquid petroleum products and for certain facilities producing petrochemical products that are operated in an integrated way with such facilities. The requirements notably concern leak detection and repair to control the release of volatile organic compounds from equipment, certain equipment and their components, fenceline monitoring, the analysis of samples, and recordkeeping and reporting.</t>
  </si>
  <si>
    <t>Compasses, Bin, Pins, Ovens, Reservoirs, Level, Loops, Lights, Energy using equipment, Compressors, Calculators, Bit, Bells, Mechanical Seals, Filters, Gauges, Respirators, Pumps, Pressure Gauges, Barrier, Cap, Alarms, Pens, Conduits, Cables, Regulator, Gate, Signs, Pipe, Studs, Doors, Hose, Telephones, Handles, Fittings, Counters, Energy efficiency and saving, Motors, Sanction, Violation, Criminal Charge, Tags, Gauge, Insulation, Nuts, Scale, Fuse, Valves, Balance, Mats, Flags, Train, Scaffolds, Ropes, Shaft, Bellows, Financial Penalty, Sorbents, Files, Screen, Energy source, Presses, Bur, Tubes, Ducts, Pans, Mill, Vises, Racks, Tank, Boxes, Lagging, Plugs, Dams, Saws, Scales, Tables, Springs, Vacuums, Indicators</t>
  </si>
  <si>
    <t>CA-SOR/2018-262</t>
  </si>
  <si>
    <t>http://www.gazette.gc.ca/rp-pr/p2/2020/2020-11-11/html/sor-dors231-eng.html</t>
  </si>
  <si>
    <t>Règlement sur la réduction des rejets de composés organiques volatils (secteur pétrolier)</t>
  </si>
  <si>
    <t>CA-DORS/2020-231</t>
  </si>
  <si>
    <t>https://legislation.nimonikapp.com/legislations/405086/legislation_texts</t>
  </si>
  <si>
    <t>http://canlii.ca/t/fvdh</t>
  </si>
  <si>
    <t>Ce règlement contient des exigences pour certaines installations produisant des produits pétroliers liquides et pour certaines installations produisant des produits pétrochimiques exploitées de façon coordonnée et complémentaire avec une telle installation. Les exigences concernent entre autres la détection et la réparation des fuites pour contrôler le rejet de composés organiques volatils par les équipements, certains équipements et leurs pièces, la surveillance du périmètre, l'analyse d'échantillons, ainsi que la tenue de registres et la production de rapports.</t>
  </si>
  <si>
    <t>CA-DORS/2018-262</t>
  </si>
  <si>
    <t>http://www.gazette.gc.ca/rp-pr/p2/2020/2020-11-11/html/sor-dors231-fra.html</t>
  </si>
  <si>
    <t>Cleaner Transportation Fuels: Renewable Content Requirements for Gasoline and Diesel Fuels</t>
  </si>
  <si>
    <t>CA-ON-OReg663/20</t>
  </si>
  <si>
    <t>https://legislation.nimonikapp.com/legislations/407701/legislation_texts</t>
  </si>
  <si>
    <t>http://canlii.ca/t/b59x</t>
  </si>
  <si>
    <t>This regulation sets out various definitions, requirements and standards for fuel suppliers, such as standards for blended diesel and blended gasoline for use or sale in Ontario, the way to calculate the greenhouse gas intensity of the bio-based content of blended diesel or blended gasoline, and the minimum amount of bio-based content for diesel and gasoline placed in the Ontario market. It also establishes requirements with respect to recordkeeping and compliance reports.</t>
  </si>
  <si>
    <t>Aircraft, Vehicle, Tank, Furnaces, Tables, Cables, Bin, Presses, Bur, Ducts, Vises, Pins, Signs, Studs, Hose, Oilers, Mats, Energy using equipment, Bit, Financial Penalty, Energy efficiency and saving, Motors</t>
  </si>
  <si>
    <t>O.Reg.97/14, OReg535/05</t>
  </si>
  <si>
    <t>https://www.ontario.ca/laws/regulation/r20663</t>
  </si>
  <si>
    <t>https://legislation.nimonikapp.com/legislations/410147/legislation_texts</t>
  </si>
  <si>
    <t>http://canlii.ca/t/b5f4</t>
  </si>
  <si>
    <t>This Act regulates the development of geothermal resources as well as the management of geothermal energy facilities and wells throughout their life cycles. It notably requires to obtain a licence prior to drill any well or construct any facility, and requires licensees to provide reasonable care to prevent impairment or damage in respect of a well, facility or their site. It also provides for the suspension and the abandonment of a well or facility, for the cancellation and suspension of a licence, and for the liability of a licensee for abandonned wells or facilities.</t>
  </si>
  <si>
    <t>Regulator, Drill, Bench, Files, Plugs, Cables, Bin, Presses, Ducts, Pans, Gate, Vises, Pins, Signs, Fuse, Pipe, Hose, Balance, Mats, Dams, Ropes, Energy using equipment, Bit, Handles, Financial Penalty, Sanction, Violation, Criminal Charge, Cap, Tables, Pens</t>
  </si>
  <si>
    <t>RSA2000,cE-12, RSA2000,cM-17, RSA2000,cO-6, RSA2000,cP-15, SA2012,cR-17.3</t>
  </si>
  <si>
    <t>https://www.qp.alberta.ca/Documents/AnnualVolumes/2020/G05p5_2020.pdf</t>
  </si>
  <si>
    <t>CA-CAN/CGSB-3.24-2020</t>
  </si>
  <si>
    <t>https://legislation.nimonikapp.com/legislations/411601/legislation_texts</t>
  </si>
  <si>
    <t>http://publications.gc.ca/collections/collection_2020/ongc-cgsb/P29-4-3-24-2020-eng.pdf</t>
  </si>
  <si>
    <t>This standard applies to three grades of aviation turbine fuel (military grades F-34, F-37 as its equivalent, and F-44) consisting of conventional hydrocarbons, synthetic hydrocarbons, naturally occurring non-hydrocarbons and additives as specified herein.</t>
  </si>
  <si>
    <t>Mats</t>
  </si>
  <si>
    <t>Carburéacteur d'aviation (grades militaires F-34, F-37 et F-44)</t>
  </si>
  <si>
    <t>CA-CAN/CGSB-3.24-2020.fr</t>
  </si>
  <si>
    <t>https://legislation.nimonikapp.com/legislations/411602/legislation_texts</t>
  </si>
  <si>
    <t>http://publications.gc.ca/collections/collection_2020/ongc-cgsb/P29-4-3-24-2020-fra.pdf</t>
  </si>
  <si>
    <t>La présente norme s’applique à trois grades de carburéacteur d’aviation (grades militaires F-34, F-37 son équivalent et F‑44) constitués d’hydrocarbures classiques, d’hydrocarbures synthétiques, de produits d’origine naturelle autres que des hydrocarbures de pétrole et des additifs indiqués dans la présente norme.</t>
  </si>
  <si>
    <t>Proposed amendments to Ontario Regulation 245/97 to regulate compressed air energy storage in porous rock reservoirs and make other amendments to reference more current standards for the regulated sector</t>
  </si>
  <si>
    <t>CA-ON-ERO-019-2935</t>
  </si>
  <si>
    <t>https://legislation.nimonikapp.com/legislations/414712/legislation_texts</t>
  </si>
  <si>
    <t>https://ero.ontario.ca/notice/019-2935</t>
  </si>
  <si>
    <t>The Government of Ontario announced its intention to modify the rules respecting compressed air energy storage projects.
According to the Ontario Government, the changes would notably
- make compressed air energy storage projects using porous rock reservoirs for storage subject to the regulatory framework provided under the Oil, Gas and Salt Resources Act (RSO1990,cP.12), and
- update the references to technical standards adopted under the Oil, Gas and Salt Resources Act (RSO1990,cP.12) regulatory framework.
These changes would be implemented by amending Exploration, Drilling and Production (OReg245/97).
Interested persons can make comments concerning these changes until March 5, 2021.</t>
  </si>
  <si>
    <t>CA-Vol.154,No.51(3868)</t>
  </si>
  <si>
    <t>https://legislation.nimonikapp.com/legislations/415595/legislation_texts</t>
  </si>
  <si>
    <t>http://www.gazette.gc.ca/rp-pr/p1/2020/2020-12-19/html/reg2-eng.html</t>
  </si>
  <si>
    <t>The Government of Canada announced its intention to adopt new rules respecting the carbon intensity (CI) of certain liquid fossil fuels produced or imported into Canada and the establishment of a compliance credit market.
According to the Government of Canada, the new rules would notably
- require primary suppliers of liquid fossil fuels “to reduce the lifecycle CI of the liquid fossil fuels they produce or import in Canada”,
- establish “annual lifecycle CI limits per type of liquid fossil fuel” and subject gasoline, diesel, kerosene and light and heavy fuel oils to an annual CI reduction requirement that will increase gradually until 2030,
- incorporate “the minimum volumetric requirements that are currently set out in the federal Renewable Fuels Regulations (RFR), requiring a minimum 5% low-carbon-intensity fuel content in gasoline and 2% low-carbon-intensity fuel content in diesel fuel and light fuel oil”,
- exempt certain fuels from the annual compliance obligation, such as “aviation fuel, fossil fuel exported from Canada, fossil fuel used in scientific research, and fossil fuel sold or delivered for use in competition vehicles”,
- exclude certain volumes from primary suppliers’ pool, such as “liquid fossil fuels sold or delivered for a use other than combustion, produced in a facility for use in that facility (other than in mobile equipment), sold or delivered for use in a marine vessel with an international port destination, and sold or delivered for non-industrial use in remote communities”,
- establish “a credit market, where each credit would represent a lifecycle emission reduction of one tonne of CO2e” and require that primary suppliers “demonstrate compliance with their reduction requirement by creating credits or acquiring credits from other creators, and then using the required number of credits for compliance”,
- allow primary suppliers “who have surplus compliance units under the RFR [...] to convert these units into credits under the [credit market] after the end of the final compliance period of the RFR”,
- allow parties “that are not fossil fuel primary suppliers [to] be able to participate in the credit market as voluntary credit creators”,
- allow primary suppliers “to use compliance credits created following credit creation rules related to reducing the CI of gaseous or solid fuels for up to 10% of their liquid class reduction requirement”,
- impose recordkeeping, reporting and verification requirements, and notably require “the reporting of all credit trades”,
- establish land-use and biodiversity (LUB) criteria for biofuels and only give compliance credit for the creation of biofuel complying with these criteria,
- allow primary suppliers to contribute “to an eligible ‘registered’ funding program in order to satisfy up to 10% of [their] annual reduction requirement”, and
- create a market-clearing mechanism to facilitate the acquisition of compliance credits by primary suppliers.
These changes would be implemented by adopting the Clean Fuel Regulations and repealing the Renewable Fuels Regulations (SOR/2010-189).
Interested persons can make comments concerning these changes until March 4, 2021.</t>
  </si>
  <si>
    <t>http://www.gazette.gc.ca/rp-pr/p1/2020/2020-12-19/pdf/g1-15451.pdf</t>
  </si>
  <si>
    <t>Règlement sur les combustibles propres</t>
  </si>
  <si>
    <t>CA-Vol.154,No.51(3868).fr</t>
  </si>
  <si>
    <t>https://legislation.nimonikapp.com/legislations/415596/legislation_texts</t>
  </si>
  <si>
    <t>http://www.gazette.gc.ca/rp-pr/p1/2020/2020-12-19/html/reg2-fra.html</t>
  </si>
  <si>
    <t>Le gouvernement du Canada a annoncé son intention d'adopter de nouvelles règles concernant l’intensité en carbone (IC) de certains combustibles fossiles liquides produits ou importés au Canada et la mise en place d'un marché d’unités de conformité.
Selon le gouvernement du Canada, les nouvelles normes permettraient entre autres
- d'exiger des fournisseurs principaux de combustibles fossiles liquides qu'ils réduisent « l’IC le long du cycle de vie des combustibles fossiles liquides qu’ils produisent ou importent au Canada » ,
- d’établir des « limites annuelles de l’IC le long du cycle de vie par type de combustible fossile liquide » et soumettre l’essence, le diesel, le kérosène et les mazouts légers et lourds à une exigence de réduction annuelle d'IC qui augmenterait progressivement jusqu'en 2030 ,
- d’intégrer « les exigences volumétriques minimales actuellement établies dans le Règlement sur les carburants renouvelables (RCR) fédéral, soit une proportion minimum de combustible à faible IC de 5 % dans l’essence et de 2 % dans le diesel et le mazout léger » ,
- d’exempter certains carburants de l'obligation de conformité annuelle, tels que le « carburéacteur, [le] combustible fossile exporté du Canada, [les] combustibles fossiles utilisés pour la recherche scientifique, et [les] combustibles fossiles vendus ou livrés à des fins d’utilisation dans des véhicules de compétition » ,
- d’exclure certains volumes des stocks des fournisseurs principaux, tels que « les combustibles fossiles liquides vendus ou livrés à des fins d’utilisation autres que la combustion, produits dans une installation et destinés à être utilisés dans cette installation (usage autre que pour l’équipement mobile), vendus ou livrés à des fins d’utilisation dans une embarcation marine à destination d’un port international, et vendus ou livrés à des fins d’utilisation non industrielle dans les collectivités éloignées » ,
- d’établir « un marché d’unités de conformité, dans lequel chaque unité de conformité représenterait une réduction d’émission sur le cycle de vie d’une tonne d’éq. CO2 » et d’exiger que les fournisseurs principaux démontrent qu’ils se conforment « à l’exigence de réduction en créant des unités de conformité ou en acquérant des unités de conformité auprès d’autres créateurs, puis en utilisant le nombre requis d’unités de conformité » ,
- de permettre aux fournisseurs principaux « qui possèdent des unités de conformité excédentaires en vertu du RCR [de] les convertir en unités de conformité [dans le nouveau marché] à la fin de la dernière période de conformité du RCR » ,
- de permettre aux « parties qui ne sont pas des fournisseurs principaux de combustibles fossiles [de] participer dans le marché d’unités de conformité comme créateurs volontaires d’unités de conformité » ,
- de permettre aux fournisseurs principaux d'utiliser « les unités de conformité créées par des actions conformes aux règles de création d’unités pour la réduction de l’IC des combustibles gazeux ou solides afin de satisfaire jusqu’à 10 % de leur exigence de réduction annuelle de la catégorie des combustibles liquides » ,
- d’imposer des exigences en matière de tenue de registres, de rapports et de vérification et notamment d’exiger la déclaration de tous les échanges d’unités ,
- d’établir des critères d’utilisation des terres et de la biodiversité (UTB) pour les biocarburants et n'accorder des unités de conformité que pour la création de biocarburants conformes à ces critères ,
- de permettre aux fournisseurs principaux de contribuer « à un programme de financement “enregistré” admissible afin de satisfaire jusqu’à 10 % de [leurs] exigence de réduction annuelle » , et
- de créer un marché de compensation des unités de conformité pour faciliter l'acquisition de crédits de conformité par les fournisseurs principaux.
Ces changements seraient implémentés par l'adoption du Règlement sur les combustibles propres et l'abrogation du Règlement sur les carburants renouvelables (DORS/2010-189).
Les personnes intéressées sont invitées à soumettre des commentaires d’ici le 4 mars 2021.</t>
  </si>
  <si>
    <t>Water Conservation Policy for Upstream Oil and Gas Operations</t>
  </si>
  <si>
    <t>CA-AB-2020-12-01</t>
  </si>
  <si>
    <t>https://legislation.nimonikapp.com/legislations/417571/legislation_texts</t>
  </si>
  <si>
    <t>https://open.alberta.ca/dataset/ebaf4d4d-d3f9-4973-b416-db5006747016/resource/3a30a95f-35ab-4214-9617-240f4695a9cb/download/aep-water-conservation-policy-for-upstream-oil-and-gas-operations-2020.pdf</t>
  </si>
  <si>
    <t>According its text, this document "provides policy direction for water use in major upstream oil and gas operations where additional water conservation measures are feasible. [It] establishes water conservation direction for guidelines that will be developed for specific subsectors of the upstream oil and gas industry[, and] replaces the Water Conservation and Allocation Policy for Oilfield Injection (2006), incorporating water conservation as a requirement for all major upstream oil and gas operations."</t>
  </si>
  <si>
    <t>Water Use and Wastewater Management, Environment Management, Equipment, Energy Management, Fines, Penalties and Sanctions</t>
  </si>
  <si>
    <t>Cables, Regulator, Bin, Sights, Presses, Ducts, Pans, Scale, Gate, Pins, Signs, Pipe, Studs, Doors, Pile, Hose, Reservoirs, Level, Balance, Mats, Vehicle, Train, Dams, Energy using equipment, Bit, Trucks, Scales, Financial Penalty, Pumps, Sanction, Violation, Criminal Charge, Tables, Tags, Pens, Drill, Indicators</t>
  </si>
  <si>
    <t>https://open.alberta.ca/publications/water-conservation-policy-for-upstream-oil-and-gas-operations</t>
  </si>
  <si>
    <t>Proposed New Oil and Gas Liability Management Regulations</t>
  </si>
  <si>
    <t>CA-SK-Prop-2021-03-01</t>
  </si>
  <si>
    <t>https://legislation.nimonikapp.com/legislations/418791/legislation_texts</t>
  </si>
  <si>
    <t>https://www.saskatchewan.ca/government/public-consultations/proposed-new-oil-and-gas-liability-management-regulations</t>
  </si>
  <si>
    <t>The Government of Saskatchewan is seeking comments on proposed regulatory changes intended to reduce the prospect of new orphan oil and gas wells and facilities in the province. 
The changes would be implemented by enacting The Financial Security and Site Closure Regulations and amending The Oil and Gas Conservation Regulations, 2012 (RRScO-2.Reg6).
Interested persons can make comments concerning these changes until March 31, 2021.</t>
  </si>
  <si>
    <t>https://legislation.nimonikapp.com/legislations/420059/legislation_texts</t>
  </si>
  <si>
    <t>https://static.aer.ca/prd/documents/directives/directive-087.pdf</t>
  </si>
  <si>
    <t>This directive contains testing, reporting, and repair requirements for isolation packers, surface casing vent flows (SCVFs), gas migration, and casing failures.</t>
  </si>
  <si>
    <t>Security and Public Safety, Hazardous Materials Management, Equipment, Energy Management, Fines, Penalties and Sanctions</t>
  </si>
  <si>
    <t>Tables, Tubing, Level, Gauges, Pressure Gauges, Barrier, Cap, Pumps, Plugs, Pipe, Reservoirs, Fittings, Valves, Hose, Pipe Fittings, Scales, Cables, Bin, Presses, Bur, Ducts, Pans, Nuts, Mill, Scale, Gate, Pins, Racks, Signs, Lights, Mats, Dams, Ropes, Energy using equipment, Financial Penalty, Sanction, Violation, Criminal Charge, Tags, Pens, Drill, Gauge, Vises, Regulator</t>
  </si>
  <si>
    <t>https://www.aer.ca/regulating-development/rules-and-directives/directives/directive-087</t>
  </si>
  <si>
    <t>https://legislation.nimonikapp.com/legislations/420260/legislation_texts</t>
  </si>
  <si>
    <t>https://canlii.ca/t/b9ct</t>
  </si>
  <si>
    <t>This regulation contains requirements and standards for oil and gas processing facilities. It notably incorporates by reference various codes and standards for facilities, sets out the application process to obtain a processing facility permit and provides for the requirements for such an application. It also establishes requirements with respect to the design and construction of a processing facility, notification, recordkeeping and reporting, the testing and operation of a processing facility, the suspension of the operations and the decommissioning of a facility, and the implementation and the review of the management system.</t>
  </si>
  <si>
    <t>Hazardous Materials Management, Safety Management, General Facility Design and Operation, Environment Management, Equipment, Energy Management, Fines, Penalties and Sanctions</t>
  </si>
  <si>
    <t>Valves, Seats, Tank, Fire suppression, Tables, Level, Signs, Handles, Telephones, Cables, Bin, Presses, Bur, Ducts, Pans, Nuts, Mill, Gate, Pins, Studs, Hose, Bags, Lights, Mats, Train, Ropes, Energy using equipment, Bit, Financial Penalty, Cap, Pens, Drill, Chairs</t>
  </si>
  <si>
    <t>https://www.bclaws.gov.bc.ca/civix/document/id/regulationbulletin/regulationbulletin/r0048_2021</t>
  </si>
  <si>
    <t>https://www.bclaws.gov.bc.ca/civix/document/id/regulationbulletin/regulationbulletin/2021bull08</t>
  </si>
  <si>
    <t>Requirements for Consultation and Notification Regulation</t>
  </si>
  <si>
    <t>CA-BC-BCReg50/2021Sched1</t>
  </si>
  <si>
    <t>https://legislation.nimonikapp.com/legislations/420261/legislation_texts</t>
  </si>
  <si>
    <t>https://canlii.ca/t/bb3s</t>
  </si>
  <si>
    <t>This regulation specifies who needs to consult or notify, and who must be notified or consulted. It also establishes requirements and obligations with respect to the consultation and the notification processes, such as the consultation and notification distances, the information to be provided, and how to carry a consultation or a notification. It also provides for the revision of the proposed activities, and for requirements with respect to the notice before entry on land.</t>
  </si>
  <si>
    <t>Timber, Vehicle, Lights, Generators, Compressors, Tank, Tables, Telephones, Cables, Presses, Fans, Gate, Vises, Signs, Pipe, Hose, Fan, Mats, Energy using equipment, Financial Penalty, Cap, Drill, Chairs, Regulator, Bin, Bur, Ducts, Pans, Pins, Fuse, Boxes, Doors, Reservoirs, Level, Plugs, Valves, Fixtures, Train, Dams, Ropes, Bit, Files, Sanction, Violation, Criminal Charge, Tags, Pens</t>
  </si>
  <si>
    <t>https://www.bclaws.gov.bc.ca/civix/document/id/regulationbulletin/regulationbulletin/r0050_2021</t>
  </si>
  <si>
    <t>CSA Z246.1-21 - Security management for petroleum and natural gas industry systems</t>
  </si>
  <si>
    <t>CA-CSA-Z246.1-21</t>
  </si>
  <si>
    <t>https://legislation.nimonikapp.com/legislations/423579/legislation_texts</t>
  </si>
  <si>
    <t>https://www.csagroup.org/store/product/CSA%20Z246.1%3A21/</t>
  </si>
  <si>
    <t>This standard specifies criteria for establishing a security management program for petroleum and natural gas industry systems to ensure security threats and associated risks are identified and managed. It also provides for mitigation and response processes and procedures to prevent and minimize the impact of security incidents that could adversely affect people, the environment, assets, and economic stability. It applies to all petroleum and natural gas industry systems, except for offshore petroleum and natural gas activity, petroleum and LNG tankers, and customers piping systems.</t>
  </si>
  <si>
    <t>Cables, Presses, Ducts, Pans, Vises, Pins, Signs, Pipe, Tank, Mats, Energy using equipment, Compressors, Financial Penalty, Pumps, Tanker, Tables</t>
  </si>
  <si>
    <t>CSA Z246.1:F21 - Gestion de la sûreté des installations liées à l'industrie du pétrole et du gaz naturel</t>
  </si>
  <si>
    <t>CA-CSA-Z246.1:F21</t>
  </si>
  <si>
    <t>https://legislation.nimonikapp.com/legislations/423580/legislation_texts</t>
  </si>
  <si>
    <t>https://www.csagroup.org/fr/store/product/CSA%20Z246.1%3A21/</t>
  </si>
  <si>
    <t>Cette norme prévoit les critères d’établissement d’un programme de gestion de la sûreté des installations liées à l’industrie du pétrole et du gaz naturel en visant à s’assurer que les menaces à la sûreté et les risques connexes sont cernés et contrôlés. Elle prévoit aussi des moyens d’atténuer ces risques, des moyens d’intervention et des procédures pour empêcher ou minimiser l’impact d’incidents liés à la sûreté qui pourraient nuire aux personnes, à l’environnement, aux actifs et à la stabilité économique. Elle est applicable à tous les équipements liés à l’industrie du pétrole et du gaz naturel, sauf les activités extracôtières liées au pétrole et au gaz naturel, les navires-transporteurs de pétrole et de GNL et les canalisations des clients.</t>
  </si>
  <si>
    <t>CA-CAN/CGSB-3.23-2020</t>
  </si>
  <si>
    <t>https://legislation.nimonikapp.com/legislations/429173/legislation_texts</t>
  </si>
  <si>
    <t>http://publications.gc.ca/collections/collection_2021/ongc-cgsb/P29-003-023-2020-1-eng.pdf</t>
  </si>
  <si>
    <t>http://www.publications.gc.ca/site/eng/9.892307/publication.html</t>
  </si>
  <si>
    <t>CA-CAN/CGSB-3.23-2020.fr</t>
  </si>
  <si>
    <t>https://legislation.nimonikapp.com/legislations/429174/legislation_texts</t>
  </si>
  <si>
    <t>http://publications.gc.ca/collections/collection_2021/ongc-cgsb/P29-003-023-2020-1-fra.pdf</t>
  </si>
  <si>
    <t>Ce document s’applique à deux grades de carburéacteur d’aviation de type kérosène (grades JET A et JET A-1) constitués d’hydrocarbures classiques, d’hydrocarbures synthétiques, de produits d’origine naturelle autres que des hydrocarbures de pétrole et de certain additifs.</t>
  </si>
  <si>
    <t>http://www.publications.gc.ca/site/fra/9.892307/publication.html</t>
  </si>
  <si>
    <t>Integration of low-carbon-intensity fuel content into gasoline and diesel fuel</t>
  </si>
  <si>
    <t>CA-QC-Vol.153,No.19(1405)</t>
  </si>
  <si>
    <t>https://legislation.nimonikapp.com/legislations/430339/legislation_texts</t>
  </si>
  <si>
    <t>http://www2.publicationsduquebec.gouv.qc.ca/dynamicSearch/telecharge.php?type=1&amp;file=105026.pdf</t>
  </si>
  <si>
    <t>The Government of Quebec has announced its intention to adopt new rules regarding gasoline and diesel fuel content.
According to the government, the changes would notably "set standards for the integration of low-carbon-intensity fuel content into gasoline and diesel fuel... [and provide] for a mechanism for the sale and trade of credits." The standards would apply incrementally from 1 January 2023 through 1 January 2030.
These changes would be implemented by enacting the Regulation respecting the integration of low-carbon-intensity fuel content into gasoline and diesel fuel.
Interested persons can submit comments until 26 June 2021.</t>
  </si>
  <si>
    <t>Intégration de contenu à faible intensité carbone dans l’essence et le carburant diesel</t>
  </si>
  <si>
    <t>CA-QC-Vol.153,No.19(2304)</t>
  </si>
  <si>
    <t>https://legislation.nimonikapp.com/legislations/430340/legislation_texts</t>
  </si>
  <si>
    <t>http://www2.publicationsduquebec.gouv.qc.ca/dynamicSearch/telecharge.php?type=1&amp;file=74742.pdf</t>
  </si>
  <si>
    <t>Le gouvernement du Québec a annoncé son intention d'adopter de nouvelles règles concernant le contenu en essence et en carburant diesel.
Selon le gouvernement, ces modifications auraient notamment pour effet « de fixer des normes d'intégration de contenu à faible intensité carbone dans l'essence et le carburant diesel ... [et prévoir] un mécanisme de vente et d'échange de crédits. » Ces normes s'appliqueraient progressivement du 1er janvier 2023 au 1er janvier 2030.
Ces modifications seraient mises en œuvre par l'adoption du Règlement sur l'intégration d'un contenu combustible à faible intensité carbonique dans l'essence et le carburant diesel.
Les personnes intéressées peuvent soumettre leurs commentaires jusqu'au 26 juin 2021.</t>
  </si>
  <si>
    <t>Measurement methods and tools for the purposes of the Regulation respecting the integration of low-carbon-intensity fuel content into gasoline and diesel fuel</t>
  </si>
  <si>
    <t>CA-QC-Vol.153,No.19(1410)</t>
  </si>
  <si>
    <t>https://legislation.nimonikapp.com/legislations/430341/legislation_texts</t>
  </si>
  <si>
    <t>http://www2.publicationsduquebec.gouv.qc.ca/dynamicSearch/telecharge.php?type=1&amp;file=105035.pdf</t>
  </si>
  <si>
    <t>The Government of Quebec has announced its intention to adopt new rules regarding gasoline and diesel fuel content.
According to the government, the changes would notably determine "the method for calculating the proportion of low-carbon-intensity fuel content integrated into gasoline and diesel fuel for a calendar year. It also provides for the measurement tool for determining the carbon intensity of a volume of low-carbon-intensity fuel content and the conditions of use."
These changes would be implemented by enacting the Order of the Minister of Energy and Natural Resources concerning the measurement methods and tools for the purposes of the Regulation respecting the integration of low-carbon-intensity fuel content into gasoline and diesel fuel.
Interested persons can submit comments until 26 June 2021.</t>
  </si>
  <si>
    <t>Méthodes et outils de mesure pour l’application du Règlement sur l’intégration de contenu à faible intensité carbone dans l’essence et le carburant diesel</t>
  </si>
  <si>
    <t>CA-QC-Vol.153,No.19(2310)</t>
  </si>
  <si>
    <t>https://legislation.nimonikapp.com/legislations/430342/legislation_texts</t>
  </si>
  <si>
    <t>http://www2.publicationsduquebec.gouv.qc.ca/dynamicSearch/telecharge.php?type=1&amp;file=74767.pdf</t>
  </si>
  <si>
    <t>Le gouvernement du Québec a annoncé son intention d'adopter de nouvelles règles concernant le contenu en essence et en carburant diesel.
Selon le gouvernement, ces modifications auraient notamment « déterminer la méthode de calcul de la proportion de contenu à faible intensité carbone intégrée à l’essence et au carburant diesel pour une année civile. Il prévoit également l’outil de mesure pour déterminer l’intensité carbone d’un volume de contenu à faible intensité carbone et ses modalités d’utilisation. » 
Ces modifications seraient mises en œuvre par l'adoption du Arrêté du ministre de l’Énergie et des Ressources naturelles concernant les méthodes et les outils de mesure pour l’application du Règlement sur
l’intégration de contenu à faible intensité carbone dans l’essence et le carburant diesel.
Les personnes intéressées peuvent soumettre leurs commentaires jusqu'au 26 juin 2021.</t>
  </si>
  <si>
    <t>CA-ON-FS-253-20</t>
  </si>
  <si>
    <t>https://legislation.nimonikapp.com/legislations/431397/legislation_texts</t>
  </si>
  <si>
    <t>https://www.tssa.org/en/fuels/resources/Pipelines-CAD-Dec-8-2020.pdf</t>
  </si>
  <si>
    <t>Cables, Regulator, Bin, Presses, Welders, Ducts, Pans, Dryers, Gate, Pins, Squares, Mops, Signs, Fuse, Pipe, Breather Vents, Bottles, Tank, Doors, Hose, Oilers, Heaters, Reservoirs, Level, Markers, Valves, Mats, Vehicle, Flags, Train, Dams, Ropes, Energy using equipment, Compressors, Financial Penalty, Fittings, Pumps, Sanction, Violation, Criminal Charge, Cap, Tables, Pens, Drill, Radio</t>
  </si>
  <si>
    <t>OGPCAD-ON, CA-OGPCAD-ON(2018)</t>
  </si>
  <si>
    <t>Preserving Canada's Economic Prosperity Act</t>
  </si>
  <si>
    <t>CA-AB-Bill72(30-2)</t>
  </si>
  <si>
    <t>https://legislation.nimonikapp.com/legislations/431969/legislation_texts</t>
  </si>
  <si>
    <t>https://docs.assembly.ab.ca/LADDAR_files/docs/bills/bill/legislature_30/session_2/20200225_bill-072.pdf</t>
  </si>
  <si>
    <t>The Government of Alberta has announced its intention to restrict the export of crude oil and natural gas from Alberta.
According to the government, the change would notably require exporters of natural gas and crude oil to apply for a licence to be authorized to do so from the government, and grant the provincial government the power to order operators to cease transporting natural gas or crude oil. The change would not affect refined fuels such as gasoline and diesel.
The change would be implemented by enacting the Preserving Canada’s Economic Prosperity Act.</t>
  </si>
  <si>
    <t>CA-AB-SA2021,cP-21.51</t>
  </si>
  <si>
    <t>https://legislation.nimonikapp.com/legislations/435738/legislation_texts</t>
  </si>
  <si>
    <t>https://www.qp.alberta.ca/Documents/AnnualVolumes/2021/P21p51_2021.pdf</t>
  </si>
  <si>
    <t>This Act prohibits the export of natural gas or crude oil from Alberta without a licence, and sets out the terms and conditions to obtain such a licence. It also provides conditions under which the government may order an operator to cease transporting natural gas or crude oil.</t>
  </si>
  <si>
    <t>Hazardous Materials Management, Border Control and Transboundary Movement of Goods and Persons, Energy Management, Equipment, Fines, Penalties and Sanctions</t>
  </si>
  <si>
    <t>Signs, Financial Penalty, Pipe, Mats, Ducts, Vehicle, Sanction, Violation, Criminal Charge, Pans, Cap, Reservoirs, Tables, Energy using equipment, Bit, Pens, Pins</t>
  </si>
  <si>
    <t>https://www.qp.alberta.ca/Annual_Volumes.cfm?page=/Documents/AnnualVolumes/2021/P21p51_2021.html</t>
  </si>
  <si>
    <t>The Financial Security and Site Closure Regulations</t>
  </si>
  <si>
    <t>CA-SK-RSS1978,cO2,Reg8</t>
  </si>
  <si>
    <t>https://legislation.nimonikapp.com/legislations/436750/legislation_texts</t>
  </si>
  <si>
    <t>https://publications.saskatchewan.ca/api/v1/products/113447/formats/127577/download</t>
  </si>
  <si>
    <t>These Regulations apply to all licensed wells, facilities, and their associated flowlines and sites, and establishes the liability for their abandonment, reclamation, and closure. It requires licensees to maintain certain financial security deposits, and includes methods for calculating the amounts to be held in a security deposit, liability reduction percentages, and annual targets for the reduction of a licensee's inactive liabilities. It also provides conditions for when a compliance plan may be required, and sets out the information required to be submitted following site closures.</t>
  </si>
  <si>
    <t>Cartridges, Brackets, Cables, Bin, Presses, Bur, Ducts, Pans, Nuts, Gate, Vises, Pins, Squares, Racks, Signs, Fuse, Pipe, Tank, Hose, Chairs, Balance, Mats, Vehicle, Dams, Ropes, Energy using equipment, Bit, Handles, Financial Penalty, Files, Motors, Carts, Sanction, Violation, Criminal Charge, Automobiles, Cap, Tables, Tags, Pens, Drill</t>
  </si>
  <si>
    <t>https://publications.saskatchewan.ca/#/products/113447</t>
  </si>
  <si>
    <t>Canada–Newfoundland and Labrador Offshore Occupational Health and Safety Regulations</t>
  </si>
  <si>
    <t>CA-Vol.155,No.30(3987)</t>
  </si>
  <si>
    <t>https://legislation.nimonikapp.com/legislations/440360/legislation_texts</t>
  </si>
  <si>
    <t>https://canadagazetteducanada.gc.ca/rp-pr/p1/2021/2021-07-24/html/reg1-eng.html</t>
  </si>
  <si>
    <t>The Government of Canada announced its intention to adopt permanent regulations respecting occupational health and safety (OHS) on offshore petroleum workplaces in Newfoundland and Labrador, such as “fixed and floating production installations, [...] mobile offshore drilling units (MODUs) and [...] ships used for seismic, construction, diving or geotechnical work”.
According to the Federal Government, the new regulations would adopt “a mix of performance-based and prescriptive OHS requirements for petroleum-related activities”, such as requirements respecting “OHS management systems and programs, the manner and timelines for reporting and investigating occupational diseases and accidents, preparing for emergencies, personal protective equipment, loss control measures for a variety of work and activities, including through risk assessments, inspections and training”. They would also “establish explicit requirements to reduce the risk of a broad range of hazards, and reference other standards to be followed”.
The new regulations would come into force after the repeal of the transitional OHS regulations.
Interested persons can make comments concerning these changes until August 23, 2021.</t>
  </si>
  <si>
    <t>https://canadagazetteducanada.gc.ca/rp-pr/p1/2021/2021-07-24/pdf/g1-15530.pdf</t>
  </si>
  <si>
    <t>Règlement sur la santé et la sécurité au travail dans la zone extracôtière Canada — Terre-Neuve-et-Labrador</t>
  </si>
  <si>
    <t>CA-Vol.155,No.30(3987).fr</t>
  </si>
  <si>
    <t>https://legislation.nimonikapp.com/legislations/440361/legislation_texts</t>
  </si>
  <si>
    <t>https://canadagazetteducanada.gc.ca/rp-pr/p1/2021/2021-07-24/html/reg1-fra.html</t>
  </si>
  <si>
    <t>Le gouvernement du Canada a annoncé son intention d'adopter un règlement permanent concernant la santé et la sécurité au travail (SST) sur les lieux de travail où sont menées des activités d'exploitation des hydrocarbures extracôtiers au large de Terre-Neuve-et-Labrador, telles que les « installations de production fixes et flottantes, [les] unités mobiles de forage et [les] navires utilisés pour mener des activités sismologiques, de construction, de plongée ou géotechniques ».
Selon le gouvernement fédéral, le nouveau règlement aurait entre autre pour effet d’adopter une « combinaison d'exigences de SST obligatoires et fondées sur le rendement pour les activités liées aux hydrocarbures », telles que des exigences concernant « les systèmes de gestion de la SST et les programmes de SST, la manière de produire des rapports et des enquêtes sur les maladies et les accidents professionnels ainsi que les délais associés à leur production, la préparation en cas d'urgences, l'équipement de protection individuelle, les mesures en cas de pertes de contrôle pour une variété d'activités, y compris par le biais d'évaluations des risques, d'inspections et de formation ». Il adopterait également « des exigences explicites en vue de réduire le risque d'une vaste gamme de dangers, et des renvois à d'autres normes à suivre ».
Le nouveau règlement entrerait en vigueur après l’abrogation des règlements transitoires sur la SST.
Les personnes intéressées sont invitées à soumettre des commentaires d’ici le 23 août 2021.</t>
  </si>
  <si>
    <t>Canada–Nova Scotia Offshore Occupational Health and Safety Regulations</t>
  </si>
  <si>
    <t>CA-Vol.155,No.30(4173)</t>
  </si>
  <si>
    <t>https://legislation.nimonikapp.com/legislations/440362/legislation_texts</t>
  </si>
  <si>
    <t>https://canadagazetteducanada.gc.ca/rp-pr/p1/2021/2021-07-24/html/reg2-eng.html</t>
  </si>
  <si>
    <t>The Government of Canada announced its intention to adopt permanent regulations respecting occupational health and safety (OHS) on offshore petroleum workplaces in Nova Scotia, such as “fixed and floating production installations, [...] mobile offshore drilling units (MODUs) and [...] ships used for seismic, construction, diving or geotechnical work”.
According to the Federal Government, the new regulations would adopt “a mix of performance-based and prescriptive OHS requirements for petroleum-related activities”, such as requirements respecting “OHS management systems and programs, the manner and timelines for reporting and investigating occupational diseases and accidents, preparing for emergencies, personal protective equipment, loss control measures for a variety of work and activities, including through risk assessments, inspections and training”. They would also “establish explicit requirements to reduce the risk of a broad range of hazards, and reference other standards to be followed”.
The new regulations would come into force after the repeal of the transitional OHS regulations.
Interested persons can make comments concerning these changes until August 23, 2021.</t>
  </si>
  <si>
    <t>Règlement sur la santé et la sécurité au travail dans la zone extracôtière Canada — Nouvelle-Écosse</t>
  </si>
  <si>
    <t>CA-Vol.155,No.30(4173).fr</t>
  </si>
  <si>
    <t>https://legislation.nimonikapp.com/legislations/440363/legislation_texts</t>
  </si>
  <si>
    <t>https://canadagazetteducanada.gc.ca/rp-pr/p1/2021/2021-07-24/html/reg2-fra.html</t>
  </si>
  <si>
    <t>Le gouvernement du Canada a annoncé son intention d'adopter un règlement permanent concernant la santé et la sécurité au travail (SST) sur les lieux de travail où sont menées des activités d'exploitation des hydrocarbures extracôtiers au large de la Nouvelle-Écosse, telles que les « installations de production fixes et flottantes, [les] unités mobiles de forage et [les] navires utilisés pour mener des activités sismologiques, de construction, de plongée ou géotechniques ».
Selon le gouvernement fédéral, le nouveau règlement aurait entre autre pour effet d’adopter une « combinaison d'exigences de SST obligatoires et fondées sur le rendement pour les activités liées aux hydrocarbures », telles que des exigences concernant « les systèmes de gestion de la SST et les programmes de SST, la manière de produire des rapports et des enquêtes sur les maladies et les accidents professionnels ainsi que les délais associés à leur production, la préparation en cas d'urgences, l'équipement de protection individuelle, les mesures en cas de pertes de contrôle pour une variété d'activités, y compris par le biais d'évaluations des risques, d'inspections et de formation ». Il adopterait également « des exigences explicites en vue de réduire le risque d'une vaste gamme de dangers, et des renvois à d'autres normes à suivre ».
Le nouveau règlement entrerait en vigueur après l’abrogation des règlements transitoires sur la SST.
Les personnes intéressées sont invitées à soumettre des commentaires d’ici le 23 août 2021.</t>
  </si>
  <si>
    <t>Bill 894, An Act to prohibit petroleum exploration and production</t>
  </si>
  <si>
    <t>CA-QC-Bill894(42-1)</t>
  </si>
  <si>
    <t>https://legislation.nimonikapp.com/legislations/448498/legislation_texts</t>
  </si>
  <si>
    <t>http://www.assnat.qc.ca/en/travaux-parlementaires/projets-loi/projet-loi-894-42-1.html</t>
  </si>
  <si>
    <t>A private members’ bill has been introduced at the National Assembly to prohibit petroleum exploration and production, brine production, and pipeline construction in the province.
These changes, if ever adopted, would notably
- revoke “all petroleum exploration and production licences and all brine production authorizations”,
- allow the revocation of pipeline construction authorizations, and
- prohibit the issuance of petroleum storage licences and of authorizations to use a pipeline.
These changes would be implemented by enacting An Act to prohibit petroleum 
exploration and production, and by amending the
- Act Respecting Land use Planning and Development (CQLR,cA-19.1),
- Petroleum Resources Act (CA-QC-CQLRcH-4.2),
- Act respecting the preservation of agricultural land and agricultural activities (CA-QC-CQLRcP-41.1),
- Environment Quality Act (RSQ,cQ-2), and
- Act respecting the Land regime in the James Bay and New Québec territories (RSQ,cR-13.1).</t>
  </si>
  <si>
    <t>Projet de loi n° 894, Loi interdisant la recherche et la production d’hydrocarbures</t>
  </si>
  <si>
    <t>CA-QC-PL894(42-1)</t>
  </si>
  <si>
    <t>https://legislation.nimonikapp.com/legislations/448499/legislation_texts</t>
  </si>
  <si>
    <t>http://www.assnat.qc.ca/fr/travaux-parlementaires/projets-loi/projet-loi-894-42-1.html</t>
  </si>
  <si>
    <t>Un projet de loi public de député a été déposé à l'Assemblée nationale pour interdire la recherche et la production d’hydrocarbures, l’exploitation de saumure et la construction de pipelines dans la province.
Ces changements, s'ils venaient à être adoptés, auraient notamment pour effet
- de révoquer « toute licence de recherche ou de production d’hydrocarbures ainsi que toute autorisation d’exploitation de saumure » ,
- de permettre la révocation des autorisations de construire un pipeline , et
- d’interdire la délivrance de licences de stockage d’hydrocarbures et d’autorisations d’utilisation de pipeline.
Ces changements seraient implémentés par l'adoption de la Loi interdisant la recherche et 
la production d’hydrocarbures et en modifiant la
- Loi sur l'aménagement et l'urbanisme (RLRQ,cA-19.1) ,
- Loi sur les hydrocarbures (CA-QC-RLRQcH-4.2) ,
- Loi sur la protection du territoire et des activités agricoles (CA-QC-RLRQcP-41.1) ,
- Loi sur la qualité de l'environnement (LRQ,cQ-2) , et
- Loi sur le régime des terres dans les territoires de la Baie-James et du Nouveau-Québec (LRQ,cR-13.1).</t>
  </si>
  <si>
    <t>Bituminous Shale Act 1976</t>
  </si>
  <si>
    <t>CA-NB-SNB1976,cB-4.1</t>
  </si>
  <si>
    <t>https://legislation.nimonikapp.com/legislations/451019/legislation_texts</t>
  </si>
  <si>
    <t>https://canlii.ca/t/88qh</t>
  </si>
  <si>
    <t>This act concerns bituminous shale ownership and exploration. The provisions cover the right of entry (geophysical exploration), rental reductions (forfeiture) and royalties.</t>
  </si>
  <si>
    <t>Natural Resource Management, Privacy and Access to Information, Equipment</t>
  </si>
  <si>
    <t>Mats, Ducts, Reservoirs, Bit, Pens, Drill</t>
  </si>
  <si>
    <t>https://laws.gnb.ca/en/showfulldoc/cs/B-4.1//20220103</t>
  </si>
  <si>
    <t>CA-NB-NBReg86-191</t>
  </si>
  <si>
    <t>oil_and_gas, construction</t>
  </si>
  <si>
    <t>https://legislation.nimonikapp.com/legislations/451024/legislation_texts</t>
  </si>
  <si>
    <t>https://canlii.ca/t/891j</t>
  </si>
  <si>
    <t>This regulation concerns geophysical exploration in New Brunswick. The provisions cover geophysical license applications, progress reports (submission dates, content, etc.), geophysical permits, geophysical exploration (requirements, liability, etc.), survey monuments, use of land (highways/roads) and shothole/testhole notifications.</t>
  </si>
  <si>
    <t>Security and Public Safety, Water Use and Wastewater Management, Energy Management, Equipment</t>
  </si>
  <si>
    <t>Signs, Tables, Springs, Energy source</t>
  </si>
  <si>
    <t>https://laws.gnb.ca/en/showfulldoc/cr/86-191//20220103</t>
  </si>
  <si>
    <t>Licence to Search, Development Permit and Lease Regulation</t>
  </si>
  <si>
    <t>CA-NB-NBReg87-14</t>
  </si>
  <si>
    <t>https://legislation.nimonikapp.com/legislations/451025/legislation_texts</t>
  </si>
  <si>
    <t>https://canlii.ca/t/89gb</t>
  </si>
  <si>
    <t>This regulation concerns bituminous shale operations (license to search, development permit and lease regulations). The provisions cover the license to search (application, renewal, terms/conditions), development permits, leases, work requirements and reporting requirements.</t>
  </si>
  <si>
    <t>Natural Resource Management, Environment Management, Water Use and Wastewater Management, Equipment</t>
  </si>
  <si>
    <t>Ducts, Bit, Pens, Gate</t>
  </si>
  <si>
    <t>https://laws.gnb.ca/en/showfulldoc/cr/87-14//20220103</t>
  </si>
  <si>
    <t>Pipeline Filing Regulation 2006-3</t>
  </si>
  <si>
    <t>CA-NB-NBReg2006-3</t>
  </si>
  <si>
    <t>oil_and_gas, construction, mining_and_minerals_industry</t>
  </si>
  <si>
    <t>https://legislation.nimonikapp.com/legislations/451026/legislation_texts</t>
  </si>
  <si>
    <t>https://canlii.ca/t/891q</t>
  </si>
  <si>
    <t>This regulation concerns pipeline operations in New Brunswick. The provisions cover early public notification requirements (public input at local and regional level), pipeline permit requirements (assessments, description of equipment, geotechnical assessments, etc.), change of transmitted substance applications and environmental/land information (in permits and project descriptions).</t>
  </si>
  <si>
    <t>Security and Public Safety, Environment Management, Water Use and Wastewater Management, Safety Management, Waste Management, Energy Management, Equipment</t>
  </si>
  <si>
    <t>Pipe, Mats, Hose, Pans, Cap, Energy using equipment</t>
  </si>
  <si>
    <t>https://laws.gnb.ca/en/showfulldoc/cr/2006-3//20220103</t>
  </si>
  <si>
    <t>CA-NB-NBReg2006-2</t>
  </si>
  <si>
    <t>https://legislation.nimonikapp.com/legislations/451027/legislation_texts</t>
  </si>
  <si>
    <t>https://canlii.ca/t/89fq</t>
  </si>
  <si>
    <t>This regulation concerns pipelines (design, construction, operation, maintenance and abandonment) in New Brunswick. The provisions cover applicable pipeline standards/specifications, station design/equipment, storage facility requirements, pipe/component specifications, duties of companies towards contractors, pipeline construction safety (manuals, environmental protection plans, etc.), pressure tests, emergency procedures, trainings programs and recordkeeping.</t>
  </si>
  <si>
    <t>Hazardous Materials Management, Security and Public Safety, Water Use and Wastewater Management, Safety Management, Energy Management, Equipment</t>
  </si>
  <si>
    <t>Signs, Cables, Pipe, Presses, Ducts, Hose, Energy using equipment</t>
  </si>
  <si>
    <t>Petroleum Regulations, CNLR 1151/96</t>
  </si>
  <si>
    <t>CA-NL-CNLR1151/96</t>
  </si>
  <si>
    <t>https://legislation.nimonikapp.com/legislations/453460/legislation_texts</t>
  </si>
  <si>
    <t>https://canlii.ca/t/8bhm</t>
  </si>
  <si>
    <t>This document concerns petroleum regulations. The provisions cover land administration, exploration licenses (application, transfer, amendment), requests for bids, exploration permit rights, work obligations (payments), development plans (information requirements, evaluations) and leases (terms, renewals, etc.).</t>
  </si>
  <si>
    <t>Natural Resource Management, Environment Management, Privacy and Access to Information, Industrial Relations and Human Resources, Equipment, Energy Management, Fines, Penalties and Sanctions</t>
  </si>
  <si>
    <t>Bin, Presses, Ducts, Pans, Vises, Pins, Ovens, Signs, Fuse, Studs, Hose, Reservoirs, Level, Mats, Dams, Ropes, Energy using equipment, Bit, Financial Penalty, Magnet, Files, Bearings, Sanction, Violation, Criminal Charge, Cap, Pens, Drill</t>
  </si>
  <si>
    <t>Royalty Regulations, 2003, NLR 71/03</t>
  </si>
  <si>
    <t>CA-NL-NLR71/03</t>
  </si>
  <si>
    <t>https://legislation.nimonikapp.com/legislations/453461/legislation_texts</t>
  </si>
  <si>
    <t>https://canlii.ca/t/8czd</t>
  </si>
  <si>
    <t>This document concerns royalty regulations relating to petroleum and natural gas projects. The provisions cover royalty payments (including share in kind), general accounting, reporting/recordkeeping, arbitration, decommissioning, costs (general, interest, incidental revenue), transportation costs and administrative penalties.</t>
  </si>
  <si>
    <t>Cables, Bin, Conveyance, Presses, Bur, Ducts, Bench, Pans, Mill, Lockouts, Gate, Vises, Pins, Racks, Signs, Tank, Hose, Reservoirs, Level, Chairs, Balance, Mats, Dams, Ropes, Energy using equipment, Bit, Financial Penalty, Tender, Files, Sanction, Violation, Criminal Charge, Tanker, Cap, Tables, Tags, Pens, Drill</t>
  </si>
  <si>
    <t>CSA Z245.12:21 - Steel flanges</t>
  </si>
  <si>
    <t>CA-CSA-Z245.12:21</t>
  </si>
  <si>
    <t>https://legislation.nimonikapp.com/legislations/454282/legislation_texts</t>
  </si>
  <si>
    <t>https://www.csagroup.org/store/product/2701372/</t>
  </si>
  <si>
    <t>This Standard applies to wrought steel welding neck and blind flanges primarily intended for use in oil or gas pipeline systems. It contains provisions related to the size, grade, and nominal pressure class of flanges.</t>
  </si>
  <si>
    <t>Safety Management, Energy Management, Equipment, Fines, Penalties and Sanctions</t>
  </si>
  <si>
    <t>Ovens, Signs, Pipe, Fittings, Financial Penalty, Presses, Mats, Pans, Ropes, Tables, Energy using equipment, Vises, Pins</t>
  </si>
  <si>
    <t>CSA Z245.12:F21 - Steel flanges</t>
  </si>
  <si>
    <t>CA-CSA-Z245.12:F21</t>
  </si>
  <si>
    <t>https://legislation.nimonikapp.com/legislations/454283/legislation_texts</t>
  </si>
  <si>
    <t>https://www.csagroup.org/fr/store/product/2701372/</t>
  </si>
  <si>
    <t>Cette norme s'applique aux brides à collet à souder et aux brides aveugles en acier forgé principalement destinées à être utilisées dans des systèmes d'oléoducs ou de gazoducs. Elle contient des dispositions relatives à la taille, au grade et à la classe de pression nominale des brides.</t>
  </si>
  <si>
    <t>Exploration Licences, Production and Storage Leases for Oil and Gas in Ontario</t>
  </si>
  <si>
    <t>CA-ON-OReg263/02</t>
  </si>
  <si>
    <t>https://legislation.nimonikapp.com/legislations/454562/legislation_texts</t>
  </si>
  <si>
    <t>https://canlii.ca/t/rs8</t>
  </si>
  <si>
    <t>This document concerns exploration licenses and production/storage licenses for oil and gas operations. The provisions cover license/lease requirements (terms, payment, description of area, etc.) and the obligations of the licensee/lessee.</t>
  </si>
  <si>
    <t>Natural Resource Management, Hazardous Materials Management, Equipment, Fines, Penalties and Sanctions</t>
  </si>
  <si>
    <t>Bin, Presses, Ducts, Pans, Vises, Pins, Ovens, Signs, Fuse, Hose, Reservoirs, Plugs, Mats, Bit, Financial Penalty, Tender, Files, Counters, Bearings, Sanction, Violation, Criminal Charge, Cap, Tables, Tags, Pens, Drill</t>
  </si>
  <si>
    <t>https://canlii.ca/t/8d4x</t>
  </si>
  <si>
    <t>This act concerns the oil and gas industry. The provisions cover general administration (crown properties, entitlement to minerals, permit/license requirements, site inspections/records, etc.), the right of entry (permission to explore, arbitrators, etc.), geophysical exploration licenses, survey systems, leases, crown reserves and conservation.</t>
  </si>
  <si>
    <t>Natural Resource Management, Water Use and Wastewater Management, Waste Management, Safety Management, Security and Public Safety</t>
  </si>
  <si>
    <t>https://www.princeedwardisland.ca/sites/default/files/legislation/o-05-oil_and_natural_gas_act.pdf</t>
  </si>
  <si>
    <t>Oil and Gas Conservation Regulations</t>
  </si>
  <si>
    <t>CA-PE-PEIRegEC170/74</t>
  </si>
  <si>
    <t>https://canlii.ca/t/8dht</t>
  </si>
  <si>
    <t>This document concerns conservation regulations for the drilling/production of oil and natural gas within the jurisdiction of the Province of Prince Edward Island. The provisions cover well/test-hole operations (locations, registration, reporting, etc.), samples/cores/logs (storage, removal, plugging, etc.), production facilities/operations (battery connections, reports, disposal, etc.), measurements/analyses/surveys (metering) and precautionary/protective practices.</t>
  </si>
  <si>
    <t>Natural Resource Management, Water Use and Wastewater Management, Security and Public Safety</t>
  </si>
  <si>
    <t>https://www.princeedwardisland.ca/sites/default/files/legislation/O%2605-2-Oil%20and%20Natural%20Gas%20Act%20Oil%20and%20Gas%20Conservation%20Regulations.pdf</t>
  </si>
  <si>
    <t>Restoring tax accountability</t>
  </si>
  <si>
    <t>CA-AB-Prop-2021-10-28</t>
  </si>
  <si>
    <t>https://legislation.nimonikapp.com/legislations/455693/legislation_texts</t>
  </si>
  <si>
    <t>https://www.alberta.ca/release.cfm?xID=80235D49AC2B9-DF2D-538A-247BE40804B813AE</t>
  </si>
  <si>
    <t>The Government of Alberta announced its intention to give municipalities new tools to collect the taxes owed by oil and gas companies.
According to the Alberta Government, the changes would notably “restore a special lien that municipalities can use to require oil and gas companies to pay overdue property taxes”.
These changes would be implemented by amending the Municipal Government Act (RSA2000,cM-26).</t>
  </si>
  <si>
    <t>Addressing sulphur dioxide emissions from Ontario’s petroleum facilities</t>
  </si>
  <si>
    <t>CA-ON-ERO-019-3443</t>
  </si>
  <si>
    <t>https://legislation.nimonikapp.com/legislations/457404/legislation_texts</t>
  </si>
  <si>
    <t>https://ero.ontario.ca/notice/019-3443</t>
  </si>
  <si>
    <t>The Government of Ontario announced its intention to “regulate air contaminants released by certain [petroleum] industrial facilities”, including the five petroleum facilities located in Ontario.
According to the Ontario Government, the changes would notably
- reduce “SO2 emissions by approximately 90%” over a defined period of time,
- require “an immediate emissions reduction of up to 30% from heavy emitters”,
- end “the combustion of solid fuel in combustion devices and [restrict] the use of fuel oil in combustion devices to emergency situations or supply constraints only”,
- require the development of “up-to-date sulphur dioxide emission minimization plans”,
- require “root cause [analyses] and [the development and implementation of] corrective and preventive actions for flares that release more than 225 kg of sulphur dioxide in a 24-hour period”,
- require the development of “continuous monitoring system plans for the design, installation, commissioning and operation of all required continuous monitoring systems”,
- require the installation and operation of “continuous monitoring systems for emissions from key process units, sulphur recovery units and flares and/or inputs to combustion devices and flares”,
- require the operation and maintenance of “at least one ambient air monitor for sulphur dioxide in the vicinity of each facility to track sulphur dioxide concentrations in the local community”, and
- require that “facility emissions data be shared with local First Nations and local municipalities”.
These changes would be implemented by enacting a new regulation.
Interested persons are invited to make comments by December 24, 2021.</t>
  </si>
  <si>
    <t>Bill 82 - Mineral Resource Development Act</t>
  </si>
  <si>
    <t>CA-AB-Bill82(30-2)</t>
  </si>
  <si>
    <t>https://legislation.nimonikapp.com/legislations/459174/legislation_texts</t>
  </si>
  <si>
    <t>https://docs.assembly.ab.ca/LADDAR_files/docs/bills/bill/legislature_30/session_2/20200225_bill-082.pdf</t>
  </si>
  <si>
    <t>The regulatory environment respecting the development of mineral resources could soon change.
According to the Alberta Government, these changes would notably
- “establish the Alberta Energy Regulator as the full lifecycle regulator for Alberta’s mineral resources” instead of having multiple entities responsible for the oversight of minerals, and
- “streamline and integrate the province’s mineral regulatory regime”.
These changes would be implemented by enacting a new Mineral Resource Development Act and by amending existing legislation.
More information is available &lt;a href="https://www.alberta.ca/release.cfm?xID=802883CC47846-F888-DE0C-F10E895C1536D91C" target="_blank"&gt;here&lt;/a&gt;.</t>
  </si>
  <si>
    <t>CA-NS-RSNS1989,c147</t>
  </si>
  <si>
    <t>https://legislation.nimonikapp.com/legislations/460235/legislation_texts</t>
  </si>
  <si>
    <t>https://canlii.ca/t/87fd</t>
  </si>
  <si>
    <t>This document concerns energy resource conservation. The provisions cover the powers/function of the minister, the utility and review board, the withdrawal of lands and governmental regulations.</t>
  </si>
  <si>
    <t>Security and Public Safety, Environment Management, Industrial Relations and Human Resources, Safety Management, Natural Resource Management, Wildlife and Land Conservation, Energy Management, Equipment, Fines, Penalties and Sanctions</t>
  </si>
  <si>
    <t>Signs, Financial Penalty, Pipe, Presses, Mats, Ducts, Sanction, Violation, Criminal Charge, Hose, Cap, Dams, Energy using equipment, Bit, Pens, Drill, Vises</t>
  </si>
  <si>
    <t>https://nslegislature.ca/sites/default/files/legc/statutes/energy_m.htm</t>
  </si>
  <si>
    <t>Importation of Hydraulic Fracturing Wastewater Prohibition Act</t>
  </si>
  <si>
    <t>CA-NS-SNS2013,c36</t>
  </si>
  <si>
    <t>https://legislation.nimonikapp.com/legislations/460236/legislation_texts</t>
  </si>
  <si>
    <t>https://canlii.ca/t/8sm0</t>
  </si>
  <si>
    <t>This document implements a ban on the importation of hydraulic fracturing wastewater.</t>
  </si>
  <si>
    <t>Water Use and Wastewater Management, Fines, Penalties and Sanctions</t>
  </si>
  <si>
    <t>Financial Penalty, Sanction, Violation, Criminal Charge</t>
  </si>
  <si>
    <t>https://nslegislature.ca/sites/default/files/legc/PDFs/annual%20statutes/2013%20Fall/c036.pdf</t>
  </si>
  <si>
    <t>CA-NS-RSNS1989,c342</t>
  </si>
  <si>
    <t>https://legislation.nimonikapp.com/legislations/460238/legislation_texts</t>
  </si>
  <si>
    <t>https://canlii.ca/t/87x0</t>
  </si>
  <si>
    <t>This document concerns petroleum resources. The provisions cover personnel (officers, employees, etc.), the vesting of petroleum, exploration licenses, exploration agreements, production leases, the disposal of petroleum right and expropriation.</t>
  </si>
  <si>
    <t>Natural Resource Management, Air Emissions and Ambient Air Quality, Equipment, Fines, Penalties and Sanctions</t>
  </si>
  <si>
    <t>Cables, Presses, Bur, Ducts, Gate, Vises, Signs, Hose, Mats, Train, Ropes, Bit, Financial Penalty, Files, Sanction, Violation, Criminal Charge, Pens, Drill</t>
  </si>
  <si>
    <t>https://nslegislature.ca/sites/default/files/legc/statutes/petrol.htm</t>
  </si>
  <si>
    <t>Gas Plant Facility Regulations</t>
  </si>
  <si>
    <t>CA-NS-NSReg22/2000</t>
  </si>
  <si>
    <t>https://legislation.nimonikapp.com/legislations/460240/legislation_texts</t>
  </si>
  <si>
    <t>https://canlii.ca/t/86gx</t>
  </si>
  <si>
    <t>This document concerns gas plant facilities. The provisions cover construction permits and operation licenses (application, terms/conditions, fees, etc.), assignment transfers, contracted services, reporting and inspections.</t>
  </si>
  <si>
    <t>Security and Public Safety, Environment Management, Industrial Relations and Human Resources, Safety Management, Equipment, Energy Management, Fines, Penalties and Sanctions</t>
  </si>
  <si>
    <t>Cables, Presses, Ducts, Pans, Gate, Vises, Pins, Signs, Fuse, Pipe, Tank, Hose, Reservoirs, Mats, Vehicle, Train, Dams, Ropes, Energy using equipment, Compressors, Financial Penalty, Tender, Files, Pumps, Sanction, Violation, Criminal Charge, Cap, Tables, Tags, Pens</t>
  </si>
  <si>
    <t>https://www.novascotia.ca/JUST/REGULATIONS/regs/ercgas.htm</t>
  </si>
  <si>
    <t>Onshore Petroleum Geophysical Exploration Regulations</t>
  </si>
  <si>
    <t>CA-NS-NSReg24/2000</t>
  </si>
  <si>
    <t>https://legislation.nimonikapp.com/legislations/460241/legislation_texts</t>
  </si>
  <si>
    <t>https://canlii.ca/t/8701</t>
  </si>
  <si>
    <t>This document concerns onshore petroleum geophysical exploration. The provisions cover financial security, authority to explore applications (disposition, suspension, etc.), consent to explore on certain lands, reporting, marking of shotholes/sourcepoints, energy sources on roads/highways and provincial survey monuments.</t>
  </si>
  <si>
    <t>Cables, Wheels, Ducts, Pans, Scale, Gate, Vises, Racks, Pins, Signs, Fuse, Hose, Plugs, Mats, Dams, Ropes, Bit, Scales, Financial Penalty, Counters, Sanction, Violation, Criminal Charge, Tables, Tags, Pens, Drill, Energy source</t>
  </si>
  <si>
    <t>https://novascotia.ca/just/regulations/regs/ercgeoex.htm</t>
  </si>
  <si>
    <t>https://legislation.nimonikapp.com/legislations/460243/legislation_texts</t>
  </si>
  <si>
    <t>https://canlii.ca/t/878t</t>
  </si>
  <si>
    <t>This document concerns fitness certificates for offshore areas. The provisions cover applications, the issuance of certificates, approval of the scope of work, invalidity and expiration dates.</t>
  </si>
  <si>
    <t>Environment Management, Safety Management, Security and Public Safety, Equipment</t>
  </si>
  <si>
    <t>Cables, Bur, Ducts, Pans, Pins, Manifolds, Signs, Tank, Floats, Derrick, Mats, Jacks, Barge, Files, Pumps, Tables, Pens, Drill</t>
  </si>
  <si>
    <t>SNS1987,c3</t>
  </si>
  <si>
    <t>https://novascotia.ca/just/regulations/regs/coprfit.htm</t>
  </si>
  <si>
    <t>Nova Scotia Offshore Area Petroleum Drilling and Production Regulations</t>
  </si>
  <si>
    <t>CA-NS-NSReg336/2009</t>
  </si>
  <si>
    <t>https://legislation.nimonikapp.com/legislations/460244/legislation_texts</t>
  </si>
  <si>
    <t>https://canlii.ca/t/8mmq</t>
  </si>
  <si>
    <t>This document concerns offshore area drilling and production. The provisions cover management systems (application for authorization, safety plan, environmental protection plan, etc.), operator duties, equipment and operations (well installations, drilling practices, well control, etc.), well/pool evaluations, training/competency requirements, well terminations and production operations.</t>
  </si>
  <si>
    <t>Natural Resource Management, Environment Management, Safety Management, Occupational Health, Chemicals Management, Emergency Preparedness and Response, Security and Public Safety, Equipment, Energy Management, Fines, Penalties and Sanctions</t>
  </si>
  <si>
    <t>Cables, Regulator, Bin, Presses, Bur, Wire, Ducts, Pans, Nuts, Scale, Gate, Pins, Manifolds, Signs, Fuse, Tank, Labels, Helicopters, Studs, Hose, Reservoirs, Level, Floats, Tubing, Plugs, Valves, Balance, Bags, Aircraft, Mats, Vehicle, Train, Ropes, Energy using equipment, Compressors, Bit, Bells, Scales, Handles, Financial Penalty, Files, Counters, Bearings, Barrier, Cap, Tables, Alarms, Pens, Drill, Indicators</t>
  </si>
  <si>
    <t>https://www.novascotia.ca/just/REGULATIONS/regs/coprdrill.htm</t>
  </si>
  <si>
    <t>Nova Scotia Offshore Area Petroleum Geophysical Operations Regulations</t>
  </si>
  <si>
    <t>CA-NS-NSReg191/95</t>
  </si>
  <si>
    <t>https://legislation.nimonikapp.com/legislations/460245/legislation_texts</t>
  </si>
  <si>
    <t>https://canlii.ca/t/86fg</t>
  </si>
  <si>
    <t>This document concerns petroleum geophysical operations in offshore areas. The provisions cover general requirements (damage to property, fire, refuse), geophysical operations (air gun system, testing), occupational health/safety (radio communication, safe working practices, etc.) and reporting requirements.</t>
  </si>
  <si>
    <t>Occupational Health, Emergency Preparedness and Response, Security and Public Safety, Safety Management, Environment Management, Equipment, Energy Management, Fines, Penalties and Sanctions</t>
  </si>
  <si>
    <t>Cables, Bin, Presses, Bur, Ducts, Pans, Gate, Vises, Pins, Racks, Manifolds, Signs, Fuse, Pipe, Tank, Helicopters, Studs, Pile, Hose, Circuit Breakers, Seats, Chain, Level, Energy source, Valves, Lights, Mats, Train, Belts, Dams, Ropes, Energy using equipment, Compressors, Bit, Deck, Handles, Magnet, Financial Penalty, Fittings, Files, Counters, Sanction, Violation, Criminal Charge, Clothing, Cap, Ballasts, Tables, Pens, Drill, Radio</t>
  </si>
  <si>
    <t>https://novascotia.ca/just/regulations/regs/coprgeop.htm</t>
  </si>
  <si>
    <t>Nova Scotia Offshore Area Petroleum Installations Regulations</t>
  </si>
  <si>
    <t>CA-NS-NSReg166/97</t>
  </si>
  <si>
    <t>https://canlii.ca/t/86zf</t>
  </si>
  <si>
    <t>This document concerns petroleum installations in offshore areas. The provisions cover general requirements (helicopter deck, inspection/maintenance facilities, electrical standards, escape routes, etc.), analysis/design (installation innovations, soil deformation, installation materials, etc.), construction, operations/maintenance and recordkeeping (reports).</t>
  </si>
  <si>
    <t>Environment Management, Safety Management, Professional Conduct, Quality Management, General Facility Design and Operation, Occupational Health, Emergency Preparedness and Response, Security and Public Safety</t>
  </si>
  <si>
    <t>https://novascotia.ca/just/regulations/regs/coprinst.htm</t>
  </si>
  <si>
    <t>Onshore Petroleum Drilling Regulations</t>
  </si>
  <si>
    <t>CA-NS-NSReg29/2001</t>
  </si>
  <si>
    <t>https://legislation.nimonikapp.com/legislations/460247/legislation_texts</t>
  </si>
  <si>
    <t>https://canlii.ca/t/86d7</t>
  </si>
  <si>
    <t>This document concerns onshore petroleum drilling. The provisions cover well drilling, land access, reports (daily and weekly), well evaluations, operator responsibilities and marine areas.</t>
  </si>
  <si>
    <t>Natural Resource Management, Environment Management, Safety Management, Water Use and Wastewater Management, Equipment, Energy Management, Fines, Penalties and Sanctions</t>
  </si>
  <si>
    <t>Insulation, Bin, Presses, Wire, Ducts, Pans, Vises, Pins, Manifolds, Signs, Fuse, Pipe, Labels, Studs, Hose, Reservoirs, Tubing, Plugs, Derrick, Aircraft, Mats, Dams, Ropes, Energy using equipment, Bit, Bells, Financial Penalty, Files, Counters, Pumps, Bearings, Sanction, Violation, Criminal Charge, Cap, Drill rig, Tables, Pens, Drill</t>
  </si>
  <si>
    <t>https://novascotia.ca/just/regulations/regs/prondril.htm</t>
  </si>
  <si>
    <t>Petroleum Resources Regulations</t>
  </si>
  <si>
    <t>CA-NS-NSReg178/85</t>
  </si>
  <si>
    <t>https://legislation.nimonikapp.com/legislations/460248/legislation_texts</t>
  </si>
  <si>
    <t>https://canlii.ca/t/86lx</t>
  </si>
  <si>
    <t>This document concerns petroleum resources. The provisions cover land division, exploration licenses, information reporting, inspections, drilling renewals, development programs and confidentiality requirements.</t>
  </si>
  <si>
    <t>Natural Resource Management, Industrial Relations and Human Resources, Emergency Preparedness and Response, Environment Management, Equipment, Energy Management, Fines, Penalties and Sanctions</t>
  </si>
  <si>
    <t>Cables, Bin, Presses, Wire, Ducts, Pans, Nuts, Scale, Gate, Vises, Pins, Ovens, Signs, Clocks, Hose, Reservoirs, Parallels, Level, Lights, Mats, Dams, Ropes, Energy using equipment, Bit, Scales, Financial Penalty, Magnet, Files, Sanction, Violation, Criminal Charge, Cap, Tables, Pens, Drill</t>
  </si>
  <si>
    <t>https://novascotia.ca/just/regulations/regs/PR-PetroleumResources.htm</t>
  </si>
  <si>
    <t>Gas Distribution Act, 1999</t>
  </si>
  <si>
    <t>CA-NB-SNB1999,cG-2.11</t>
  </si>
  <si>
    <t>https://legislation.nimonikapp.com/legislations/462055/legislation_texts</t>
  </si>
  <si>
    <t>https://canlii.ca/t/88k9</t>
  </si>
  <si>
    <t>This document concerns gas distribution. The provisions cover the granting of gas distribution rights, pipeline construction/operations, gas storage, gas marketing and license requirements.</t>
  </si>
  <si>
    <t>Communications and Utilities, Natural Resource Management, Energy Management, Equipment</t>
  </si>
  <si>
    <t>Signs, Pipe, Regulator, Lights, Presses, Mats, Ducts, Hose, Cap, Ropes, Energy using equipment, Pens, Gate</t>
  </si>
  <si>
    <t>http://laws.gnb.ca/en/showfulldoc/cs/G-2.11//20211202</t>
  </si>
  <si>
    <t>CA-NB-SNB2006,cP-8.05</t>
  </si>
  <si>
    <t>https://legislation.nimonikapp.com/legislations/462086/legislation_texts</t>
  </si>
  <si>
    <t>https://canlii.ca/t/88j4</t>
  </si>
  <si>
    <t>This document concerns petroleum product pricing. The provisions cover maximum prices/margins, maximum delivery costs, price display/disclosure, promotional activities and inspections.</t>
  </si>
  <si>
    <t>Internal combustion engine, Bur, Mats, Ducts, Motors, Pans, Energy using equipment, Furnaces</t>
  </si>
  <si>
    <t>http://laws.gnb.ca/en/showfulldoc/cs/P-8.05//20211130</t>
  </si>
  <si>
    <t>Gas Marketers’ Filing Regulation</t>
  </si>
  <si>
    <t>CA-NB-NBReg99-60</t>
  </si>
  <si>
    <t>https://canlii.ca/t/88wj</t>
  </si>
  <si>
    <t>This document implements regulations concerning the marketers' filing requirements (certificates) under the Gas Distribution Act, 1999.</t>
  </si>
  <si>
    <t>Communications and Utilities</t>
  </si>
  <si>
    <t>http://laws.gnb.ca/en/showfulldoc/cr/99-60//20211206</t>
  </si>
  <si>
    <t>Licence to Search and Lease Regulation</t>
  </si>
  <si>
    <t>CA-NB-NBReg2001-66</t>
  </si>
  <si>
    <t>https://legislation.nimonikapp.com/legislations/462176/legislation_texts</t>
  </si>
  <si>
    <t>https://canlii.ca/t/89d7</t>
  </si>
  <si>
    <t>This document implements regulations concerning leases (conversion, application, etc.) and a license to search (application, terms/conditions, etc.) under the Oil and Natural Gas Act.</t>
  </si>
  <si>
    <t>Ducts</t>
  </si>
  <si>
    <t>http://laws.gnb.ca/en/showfulldoc/cr/2001-66//20211206</t>
  </si>
  <si>
    <t>Directive 088: Licensee Life-Cycle Management</t>
  </si>
  <si>
    <t>CA-AB-Dir088</t>
  </si>
  <si>
    <t>https://legislation.nimonikapp.com/legislations/462356/legislation_texts</t>
  </si>
  <si>
    <t>https://static.aer.ca/prd/documents/directives/Directive088.pdf</t>
  </si>
  <si>
    <t>This directive applies to energy infrastructure and sites regulated under the Oil and Gas Conservation Act and Pipeline Act. It notably introduces a holistic assessment of a licensee’s capabilities and performance across the energy development life cycle, a license management program, and the Inventory Reduction Program which sets mandatory closure spend targets. It also contains requirements related to the licence transfer process and provides for security collection.</t>
  </si>
  <si>
    <t>Signs, Financial Penalty, Pipe, Cables, Regulator, Bin, Mats, Ducts, Hose, Pans, Cap, Tags, Energy using equipment, Pens, Gate</t>
  </si>
  <si>
    <t>Canada – Nova Scotia Offshore Area Diving Operations Safety Transitional Regulations</t>
  </si>
  <si>
    <t>CA-SOR/2015-6</t>
  </si>
  <si>
    <t>https://legislation.nimonikapp.com/legislations/463234/legislation_texts</t>
  </si>
  <si>
    <t>https://canlii.ca/t/8tms</t>
  </si>
  <si>
    <t>This regulation concerns any diving operation conducted in the Nova Scotia offshore area in connection with the exploration or drilling for, or the production, conservation, processing or transportation of, petroleum. The provisions cover requirements for diving program operators and contractors (duties, equipment testing/examination, medical services, procedures, etc.), as well as supervisor certification requirements/duties (restrictions, recordkeeping, equipment).</t>
  </si>
  <si>
    <t>Environment Management, Chemicals Management, Safety Management, Occupational Health, Professional Conduct, Quality Management, Equipment, Energy Management, Fines, Penalties and Sanctions</t>
  </si>
  <si>
    <t>Springs, Conduits, Cables, Presses, Wire, Ducts, Pans, Nuts, Mill, Gate, Vises, Hoist, Pins, Signs, Gears, Pipe, Bottles, Tank, Labels, Hoist, Doors, Hose, Ramp, Lamp, Winches, Lifting device, Glass, Prime mover, Level, Winch, Valves, Crane, Aircraft, Lights, Mats, Switches, Chests, Vehicle, Train, Dams, Ropes, Energy using equipment, Skip, Compressors, Bit, Cage, Bells, Telephones, Handles, Crane, Gauges, Fittings, Financial Penalty, Counters, Pumps, Clamps, Sanction, Violation, Criminal Charge, Cap, Tables, Tags, Alarms, Pens, Drill, Tap, Gauge</t>
  </si>
  <si>
    <t>https://laws-lois.justice.gc.ca/eng/regulations/SOR-2015-6/FullText.html</t>
  </si>
  <si>
    <t>Règlement transitoire sur la sécurité des opérations de plongée dans la zone extracôtière Canada – Nouvelle-Écosse</t>
  </si>
  <si>
    <t>CA-DORS/2015-6</t>
  </si>
  <si>
    <t>https://legislation.nimonikapp.com/legislations/463235/legislation_texts</t>
  </si>
  <si>
    <t>https://canlii.ca/t/djr4</t>
  </si>
  <si>
    <t>Ce règlement concerne toutes opérations de plongée dans la zone extracôtière de la Nouvelle-Écosse menées dans le cadre des activités liées à la recherche, le forage, la production, la rationalisation de l’exploitation, la transformation et au transport des hydrocarbures. Les dispositions couvrent les exigences pour les opérateurs et les entrepreneurs de programmes de plongée (obligations, vérification/mise à l’essai de l'équipement, services médicaux, procédures, etc.), ainsi que les exigences/brevets des superviseurs (restrictions, tenue de dossiers, équipement).</t>
  </si>
  <si>
    <t>https://laws-lois.justice.gc.ca/fra/reglements/DORS-2015-6/TexteComplet.html</t>
  </si>
  <si>
    <t>Canada – Nova Scotia Offshore Marine Installations and Structures Transitional Regulations</t>
  </si>
  <si>
    <t>CA-SOR/2015-3</t>
  </si>
  <si>
    <t>https://legislation.nimonikapp.com/legislations/463236/legislation_texts</t>
  </si>
  <si>
    <t>https://canlii.ca/t/8tmp</t>
  </si>
  <si>
    <t>This regulation concerns marine Installations and structures in the Nova Scotia offshore area. The provisions require operators to provide immersion suits and firefighting equipment in the workplace that meet regulatory standards.</t>
  </si>
  <si>
    <t>Occupational Health, Equipment</t>
  </si>
  <si>
    <t>Signs, Deck, Helicopters, Belts, Ropes</t>
  </si>
  <si>
    <t>https://laws-lois.justice.gc.ca/eng/regulations/SOR-2015-3/FullText.html</t>
  </si>
  <si>
    <t>Règlement transitoire sur les ouvrages en mer dans la zone extracôtière Canada – Nouvelle-Écosse</t>
  </si>
  <si>
    <t>CA-DORS/2015-3</t>
  </si>
  <si>
    <t>https://legislation.nimonikapp.com/legislations/463237/legislation_texts</t>
  </si>
  <si>
    <t>https://canlii.ca/t/djr1</t>
  </si>
  <si>
    <t>Ce règlement concerne les ouvrages en mer dans la zone extracôtière de la Nouvelle-Écosse. Les dispositions exigent que les exploitants fournissent des combinaisons d'immersion et des matériels de lutte contre l'incendie sur le lieu de travail qui répond aux normes réglementaires.</t>
  </si>
  <si>
    <t>https://laws-lois.justice.gc.ca/fra/reglements/DORS-2015-3/TexteComplet.html</t>
  </si>
  <si>
    <t>Canada Oil and Gas Drilling and Production Regulations, CRC, c 1517</t>
  </si>
  <si>
    <t>CA-CRC,c1517</t>
  </si>
  <si>
    <t>https://legislation.nimonikapp.com/legislations/463238/legislation_texts</t>
  </si>
  <si>
    <t>https://canlii.ca/t/7w8d</t>
  </si>
  <si>
    <t>This regulation concerns the drilling and production of oil and gas. The provisions cover drilling notices, equipment procedures, coring (testing/sampling), daily reports, abandonment of wells, restoration of the surface, where/how to drill wells, safety measures, metering, protective equipment and more.</t>
  </si>
  <si>
    <t>Environment Management, Natural Resource Management, Safety Management, Occupational Health, General Facility Design and Operation, Waste Management, Hazardous Materials Management, Emergency Preparedness and Response, Energy Management, Equipment, Fines, Penalties and Sanctions</t>
  </si>
  <si>
    <t>Ladders, Bin, Wire, Pins, Gears, Bolt, Hooks, Heaters, Reservoirs, Level, Hammers, Loops, Markers, Lights, Energy using equipment, Compressors, Bells, Gauges, Pumps, Pressure Gauges, Clamps, Cap, Pens, Drill, Hoist, Conduits, Cables, Pusher, Gate, Brakes, Sprockets, Signs, Pipe, Hose, Oilers, Chain, Switches, Fixtures, Cabinets, Generators, Thermometer, Handles, Counters, Receptacles, Motors, Sanction, Violation, Criminal Charge, Tags, Gauge, Insulation, Extension Cords, Steam engine, Fuse, Labels, Flashlights, Valves, Balance, Aircraft, Wire Rope, Mats, Chests, Anchors, Ropes, Shaft, Deck, Financial Penalty, Files, Drum, Tap, Lamp, Presses, Bur, Ducts, Racks, Internal combustion engine, Tank, Hoist, Boxes, Seats, Bags, Plugs, Derrick, Belts, Dams, Raceways, Railing, Fire Extinguishers, Sill, Cage, Bearings, Tables, Indicators</t>
  </si>
  <si>
    <t>https://laws-lois.justice.gc.ca/eng/regulations/C.R.C.,_c._1517/FullText.html</t>
  </si>
  <si>
    <t>Règlement sur le forage et l’exploitation des puits de pétrole et de gaz au Canada</t>
  </si>
  <si>
    <t>CA-CRC,c1517.fr</t>
  </si>
  <si>
    <t>https://legislation.nimonikapp.com/legislations/463239/legislation_texts</t>
  </si>
  <si>
    <t>https://canlii.ca/t/clcq</t>
  </si>
  <si>
    <t>Ce règlement concerne le forage et l’extraction du pétrole et du gaz. Les dispositions couvrent les avis de forage, les procédures relatives à l'équipement, le carottage (sondage/échantillonnage), les relevés quotidiens, l'abandon des puits, la remise en état de la surface, où et comment forer les puits, les mesures de sécurité, le comptage, l'équipement de protection, etc.</t>
  </si>
  <si>
    <t>https://laws-lois.justice.gc.ca/fra/reglements/C.R.C.,_c._1517.fr/TexteComplet.html</t>
  </si>
  <si>
    <t>Canada Oil and Gas Land Regulations</t>
  </si>
  <si>
    <t>CA-CRC,c1518</t>
  </si>
  <si>
    <t>https://legislation.nimonikapp.com/legislations/463240/legislation_texts</t>
  </si>
  <si>
    <t>https://canlii.ca/t/7w8f</t>
  </si>
  <si>
    <t>This regulation concerns lands containing oil and gas that are under the control, management and administration of the Minister. The provisions cover surveying, monument preservation, wells (exploration and development), licensing applications (exploration agreements, permits and leases) and general prohibitions.</t>
  </si>
  <si>
    <t>Environment Management, Land Use, Natural Resource Management, Security and Public Safety, Financial Administration, Accounting, Charges, Privacy and Access to Information, Equipment, Energy Management, Fines, Penalties and Sanctions</t>
  </si>
  <si>
    <t>Cables, Bin, Ducts, Pans, Scale, Gate, Pins, Signs, Pipe, Hose, Parallels, Markers, Mats, Dams, Ropes, Energy using equipment, Timber, Bit, Scales, Financial Penalty, Magnet, Tender, Files, Sanction, Violation, Criminal Charge, Cap, Tables, Tags, Pens, Drill</t>
  </si>
  <si>
    <t>https://laws-lois.justice.gc.ca/eng/regulations/C.R.C.,_c._1518/FullText.html</t>
  </si>
  <si>
    <t>Règlement sur les terres pétrolifères et gazifères du Canada</t>
  </si>
  <si>
    <t>CA-CRC,c1518.fr</t>
  </si>
  <si>
    <t>https://legislation.nimonikapp.com/legislations/463241/legislation_texts</t>
  </si>
  <si>
    <t>https://canlii.ca/t/clcr</t>
  </si>
  <si>
    <t>Ce règlement concerne les terres contenant du pétrole et du gaz qui sont placés sous la régie, la gestion et l’administration du ministre. Les dispositions couvrent l'arpentage, la préservation des bornes, les puits (sondage et d'exploitation), les demandes de licences (accords pour sondages, permis et concessions) et les interdictions générales.</t>
  </si>
  <si>
    <t>https://laws-lois.justice.gc.ca/fra/reglements/C.R.C.,_c._1518.fr/TexteComplet.html</t>
  </si>
  <si>
    <t>Joint Notice Specifying the Prohibition Period For Certain Activities on Georges Bank</t>
  </si>
  <si>
    <t>CA-SOR/2016-70</t>
  </si>
  <si>
    <t>https://legislation.nimonikapp.com/legislations/463324/legislation_texts</t>
  </si>
  <si>
    <t>https://canlii.ca/t/8z65</t>
  </si>
  <si>
    <t>This regulation proclaims a joint notice specifying the prohibition period for certain activities (exploration and drilling for and the production, conservation and processing of petroleum) on Georges Bank.</t>
  </si>
  <si>
    <t>Security and Public Safety, Hazardous Materials Management, Equipment</t>
  </si>
  <si>
    <t>Bit</t>
  </si>
  <si>
    <t>https://laws-lois.justice.gc.ca/eng/regulations/SOR-2016-70/FullText.html</t>
  </si>
  <si>
    <t>Avis conjoint précisant la période d’interdiction de certaines activités sur le banc de Georges</t>
  </si>
  <si>
    <t>CA-DORS/2016-70</t>
  </si>
  <si>
    <t>https://legislation.nimonikapp.com/legislations/463325/legislation_texts</t>
  </si>
  <si>
    <t>https://canlii.ca/t/dn9h</t>
  </si>
  <si>
    <t>Ce règlement proclame un avis conjoint précisant la période d'interdiction de certaines activités (la recherche, notamment par forage, la production, la rationalisation de l’exploitation et la transformation des hydrocarbures) sur le banc de Georges.</t>
  </si>
  <si>
    <t>https://laws-lois.justice.gc.ca/fra/reglements/DORS-2016-70/TexteComplet.html</t>
  </si>
  <si>
    <t>Newfoundland Offshore Area Petroleum Diving Regulations</t>
  </si>
  <si>
    <t>CA-SOR/88-601</t>
  </si>
  <si>
    <t>https://legislation.nimonikapp.com/legislations/463378/legislation_texts</t>
  </si>
  <si>
    <t>https://canlii.ca/t/7zw6</t>
  </si>
  <si>
    <t>This regulation concerns petroleum diving operations in the Newfoundland offshore area. The provisions cover diving programs, operators, diving contractors, safety specialists, diving certification and pilot requirements.</t>
  </si>
  <si>
    <t>Security and Public Safety, Water Use and Wastewater Management, Safety Management, Occupational Health, Chemicals Management, Emergency Preparedness and Response, Energy Management, Equipment, Fines, Penalties and Sanctions</t>
  </si>
  <si>
    <t>Wire, Pins, Ovens, Gears, Reservoirs, Level, Winch, Crane, Lights, Vehicle, Energy using equipment, Compressors, Bit, Bells, Gauges, Respirators, Pumps, Clamps, Cap, Alarms, Pens, Drill, Hoist, Conduits, Cables, Regulator, Gate, Brakes, Signs, Fire suppression, Pipe, Bottles, Studs, Doors, Hose, Ramp, Prime mover, Switches, Telephones, Handles, Fittings, Counters, Sanction, Violation, Criminal Charge, Tags, Gauge, Nuts, Labels, Winches, Valves, Aircraft, Mats, Anchors, Train, Ropes, Financial Penalty, Crane, Magnet, Files, Drum, Tap, Lamp, Presses, Tubes, Ducts, Pans, Mill, Vises, Tank, Hoist, Lifting device, Seats, Dams, Skip, Cage, Tables, Springs, Indicators</t>
  </si>
  <si>
    <t>https://laws-lois.justice.gc.ca/eng/regulations/SOR-88-601/FullText.html</t>
  </si>
  <si>
    <t>Règlement sur les opérations de plongée liées aux activités pétrolières et gazières dans la zone extracôtière de Terre-Neuve</t>
  </si>
  <si>
    <t>CA-DORS/88-601</t>
  </si>
  <si>
    <t>https://legislation.nimonikapp.com/legislations/463379/legislation_texts</t>
  </si>
  <si>
    <t>https://canlii.ca/t/cp0j</t>
  </si>
  <si>
    <t>Ce règlement concerne les opérations de plongée liées aux activités pétrolières et gazières dans la zone extracôtière de Terre-Neuve. Les dispositions couvrent les programmes de plongée, les exploitants, les entrepreneurs en plongée, les spécialistes de la sécurité, le brevet de plongée et les exigences relatives aux pilotes.</t>
  </si>
  <si>
    <t>https://laws-lois.justice.gc.ca/fra/reglements/DORS-88-601/TexteComplet.html</t>
  </si>
  <si>
    <t>CA-SOR/95-144</t>
  </si>
  <si>
    <t>https://legislation.nimonikapp.com/legislations/463386/legislation_texts</t>
  </si>
  <si>
    <t>https://canlii.ca/t/80f8</t>
  </si>
  <si>
    <t>This regulation concerns geophysical operations (exploration for petroleum) in the Nova Scotia offshore area. The provisions cover geophysical operations (air guns, gas exploders, electrical seismic energy sources, etc.), occupational health/safety (no smoking, staff training, safe working practices) and reporting requirements.</t>
  </si>
  <si>
    <t>Security and Public Safety, Emergency Preparedness and Response, Waste Management, General Facility Design and Operation, Safety Management, Communications and Utilities, Occupational Health, Natural Resource Management, Equipment, Energy Management, Fines, Penalties and Sanctions</t>
  </si>
  <si>
    <t>Cables, Presses, Bur, Ducts, Pans, Gate, Vises, Pins, Racks, Manifolds, Signs, Pipe, Tank, Helicopters, Studs, Hose, Circuit Breakers, Seats, Chain, Level, Valves, Lights, Mats, Train, Belts, Dams, Ropes, Energy using equipment, Compressors, Deck, Financial Penalty, Magnet, Fittings, Files, Counters, Sanction, Violation, Criminal Charge, Cap, Ballasts, Tables, Pens, Drill, Energy source</t>
  </si>
  <si>
    <t>https://laws-lois.justice.gc.ca/eng/regulations/SOR-95-144/FullText.html</t>
  </si>
  <si>
    <t>Règlement sur les études géophysiques liées à la recherche des hydrocarbures dans la zone extracôtière de la Nouvelle-Écosse</t>
  </si>
  <si>
    <t>CA-DORS/95-144</t>
  </si>
  <si>
    <t>https://legislation.nimonikapp.com/legislations/463387/legislation_texts</t>
  </si>
  <si>
    <t>https://canlii.ca/t/cpjl</t>
  </si>
  <si>
    <t>Ce règlement concerne les études géophysiques liées à la recherche des hydrocarbures dans la zone extracôtière de la Nouvelle-Écosse. Les dispositions couvrent les études géophysiques (canons pneumatiques, canons de gaz, appareils électriques, etc.), la santé/sécurité au travail (interdiction de fumer, formation l’équipe d’étude géophysique, mesures de travail sécuritaires) et les exigences en matière de rapports.</t>
  </si>
  <si>
    <t>https://laws-lois.justice.gc.ca/fra/reglements/DORS-95-144/TexteComplet.html</t>
  </si>
  <si>
    <t>Nova Scotia Offshore Petroleum Drilling and Production Regulations</t>
  </si>
  <si>
    <t>CA-SOR/2009-317</t>
  </si>
  <si>
    <t>https://legislation.nimonikapp.com/legislations/463388/legislation_texts</t>
  </si>
  <si>
    <t>https://canlii.ca/t/8mnc</t>
  </si>
  <si>
    <t>This regulation concerns petroleum drilling and production in the Nova Scotia offshore area. The provisions cover the operator's duties, equipment/operational requirements, site evaluations (wells, pools and fields), well terminations, training/competency requirements and recordkeeping.</t>
  </si>
  <si>
    <t>Security and Public Safety, Natural Resource Management, Environment Management, Safety Management, Hazardous Materials Management, Occupational Health, Waste Management, Equipment, Energy Management, Fines, Penalties and Sanctions</t>
  </si>
  <si>
    <t>Partitions, Cables, Regulator, Bin, Presses, Bur, Wire, Ducts, Gate, Pins, Signs, Fuse, Studs, Hose, Reservoirs, Level, Floats, Tubing, Plugs, Bags, Aircraft, Mats, Vehicle, Train, Ropes, Energy using equipment, Bit, Handles, Financial Penalty, Files, Counters, Barrier, Cap, Tables, Alarms, Pens, Drill, Indicators</t>
  </si>
  <si>
    <t>https://laws-lois.justice.gc.ca/eng/regulations/SOR-2009-317/FullText.html</t>
  </si>
  <si>
    <t>Règlement sur le forage et la production relatifs aux hydrocarbures dans la zone extracôtière de la Nouvelle-Écosse</t>
  </si>
  <si>
    <t>CA-DORS/2009-317</t>
  </si>
  <si>
    <t>https://legislation.nimonikapp.com/legislations/463389/legislation_texts</t>
  </si>
  <si>
    <t>https://canlii.ca/t/dbrp</t>
  </si>
  <si>
    <t>Ce règlement concerne le forage et la production relatifs aux hydrocarbures dans la zone extracôtière de la Nouvelle-Écosse. Les dispositions portent sur les obligations de l'exploitant, les exigences en matière d'équipement/activités, l'évaluation des sites (puits, gisements et champs), la cessation de l’exploitation d’un puits, les exigences en matière de formation/compétence et la tenue des dossiers.</t>
  </si>
  <si>
    <t>https://laws-lois.justice.gc.ca/fra/reglements/DORS-2009-317/TexteComplet.html</t>
  </si>
  <si>
    <t>Nova Scotia Offshore Petroleum Installations Regulations</t>
  </si>
  <si>
    <t>CA-SOR/95-191</t>
  </si>
  <si>
    <t>https://legislation.nimonikapp.com/legislations/463390/legislation_texts</t>
  </si>
  <si>
    <t>https://canlii.ca/t/80fn</t>
  </si>
  <si>
    <t>This regulation concerns petroleum installations in the Nova Scotia offshore area. The provisions cover general requirements (quality assurance, ventilation, corrosion protection, etc.), analysis/design, construction/installations, operation/maintenance and recordkeeping.</t>
  </si>
  <si>
    <t>Security and Public Safety, General Facility Design and Operation, Safety Management, Occupational Health, Air Emissions and Ambient Air Quality, Communications and Utilities, Emergency Preparedness and Response, Environment Management, Energy Management, Equipment, Fines, Penalties and Sanctions</t>
  </si>
  <si>
    <t>Ladders, Bin, Wire, Pins, Bolt, Heaters, Level, Winch, Lights, Energy using equipment, Compressors, Jacks, Bit, Filters, Gauges, Pumps, Pressure Gauges, Cap, Alarms, Pens, Drill, Conduits, Cables, Gate, Brakes, Signs, Pipe, Helicopters, Studs, Doors, Hose, Oilers, Ramp, Chain, Prime mover, Fire hose, Switches, Generators, Handles, Barge, Fittings, Counters, Motors, Sanction, Violation, Criminal Charge, Tags, Radio, Gauge, Lockers, Insulation, Nuts, Hinges, Speakers, Winches, Enclosures, Floats, Electric Motors, Valves, Aircraft, Mats, Anchors, Train, Ropes, Deck, Financial Penalty, Drum, Chute, Presses, Bur, Wheels, Ducts, Pans, Fans, Vises, Racks, Manifolds, Internal combustion engine, Tank, Electric motor, Slings, Fan, Furnaces, Bulkhead, Sprinklers, Derrick, Lifeboat, Belts, Dams, Fire Extinguishers, Bearings, Ballasts, Tables, Indicators</t>
  </si>
  <si>
    <t>https://laws-lois.justice.gc.ca/eng/regulations/SOR-95-191/FullText.html</t>
  </si>
  <si>
    <t>Règlement sur les installations pour hydrocarbures de la zone extracôtière de la Nouvelle-Écosse</t>
  </si>
  <si>
    <t>CA-DORS/95-191</t>
  </si>
  <si>
    <t>https://legislation.nimonikapp.com/legislations/463391/legislation_texts</t>
  </si>
  <si>
    <t>https://canlii.ca/t/cpk0</t>
  </si>
  <si>
    <t>Ce règlement concerne les installations pour hydrocarbures de la zone extracôtière de la Nouvelle-Écosse. Les dispositions couvrent les exigences générales (assurance de la qualité, ventilation, protection contre la corrosion, etc.), l'analyse/conception, la construction/mise en place, l'exploitation/maintenance et la tenue de registres.</t>
  </si>
  <si>
    <t>https://laws-lois.justice.gc.ca/fra/reglements/DORS-95-191/TexteComplet.html</t>
  </si>
  <si>
    <t>Polar Bear Pass Withdrawal Order</t>
  </si>
  <si>
    <t>CA-SOR/84-409</t>
  </si>
  <si>
    <t>https://legislation.nimonikapp.com/legislations/463408/legislation_texts</t>
  </si>
  <si>
    <t>https://canlii.ca/t/7zlf</t>
  </si>
  <si>
    <t>Order respecting the withdrawal of certain lands in and between the Bracebridge-Goodsir Inlets at Bathurst Island in the Northwest Territories from disposal (withdrawn from Territorial Lands Act and Canada Oil and Gas Act)</t>
  </si>
  <si>
    <t>Wildlife and Land Conservation, Equipment</t>
  </si>
  <si>
    <t>Scales, Ducts, Pans, Scale, Bit</t>
  </si>
  <si>
    <t>https://laws-lois.justice.gc.ca/eng/regulations/SOR-84-409/FullText.html</t>
  </si>
  <si>
    <t>Décret soustrayant à l’aliénation le passage Polar Bear</t>
  </si>
  <si>
    <t>CA-DORS/84-409</t>
  </si>
  <si>
    <t>https://legislation.nimonikapp.com/legislations/463409/legislation_texts</t>
  </si>
  <si>
    <t>https://canlii.ca/t/cnpr</t>
  </si>
  <si>
    <t>Décret soustrayant à l’aliénation certaines terres de l’île Bathurst (territoires du Nord-Ouest) situées entre les anses Bracebridge et Goodsir ou à l’intérieur de celles-ci (soustrait de la Loi sur les terres territoriales et de la Loi sur le pétrole et le gaz du Canada)</t>
  </si>
  <si>
    <t>https://laws-lois.justice.gc.ca/fra/reglements/DORS-84-409/TexteComplet.html</t>
  </si>
  <si>
    <t>Bill 494, An Act to prohibit petroleum exploration and production</t>
  </si>
  <si>
    <t>CA-QC-Bill494(42-2)</t>
  </si>
  <si>
    <t>https://legislation.nimonikapp.com/legislations/465141/legislation_texts</t>
  </si>
  <si>
    <t>http://www.assnat.qc.ca/en/travaux-parlementaires/projets-loi/projet-loi-494-42-2.html</t>
  </si>
  <si>
    <t>A private members’ bill has been introduced at the National Assembly to prohibit petroleum exploration and production, brine production, and pipeline construction in the province.
These changes, if ever adopted, would notably
- revoke “all petroleum exploration and production licences and all brine production authorizations”,
- allow the revocation of pipeline construction authorizations, and
- prohibit the issuance of petroleum storage licences and of authorizations to use a pipeline.
These changes would be implemented by enacting An Act to prohibit petroleum exploration and production, and by amending the
- Act Respecting Land use Planning and Development (CQLR,cA-19.1),
- Petroleum Resources Act (CA-QC-CQLRcH-4.2),
- Environment Quality Act (RSQ,cQ-2), and
- Act respecting the Land regime in the James Bay and New Québec territories (RSQ,cR-13.1).</t>
  </si>
  <si>
    <t>Projet de loi n° 494, Loi interdisant les activités d’exploration et de production d’hydrocarbures</t>
  </si>
  <si>
    <t>CA-QC-PL494(42-2)</t>
  </si>
  <si>
    <t>https://legislation.nimonikapp.com/legislations/465142/legislation_texts</t>
  </si>
  <si>
    <t>http://www.assnat.qc.ca/fr/travaux-parlementaires/projets-loi/projet-loi-494-42-2.html</t>
  </si>
  <si>
    <t>Un projet de loi public de député a été déposé à l'Assemblée nationale pour interdire la recherche et la production d’hydrocarbures, l’exploitation de saumure et la construction de pipelines dans la province.
Ces changements, s'ils venaient à être adoptés, auraient notamment pour effet
- de révoquer « toute licence de recherche ou de production d’hydrocarbures ainsi que toute autorisation d’exploitation de saumure » ,
- de permettre la révocation des autorisations de construire un pipeline , et
- d’interdire la délivrance de licences de stockage d’hydrocarbures et d’autorisations d’utilisation de pipeline.
Ces changements seraient implémentés par l'adoption de la Loi interdisant les activités d’exploration et de production d’hydrocarbures et en modifiant la
- Loi sur l'aménagement et l'urbanisme (RLRQ,cA-19.1) ,
- Loi sur les hydrocarbures (CA-QC-RLRQcH-4.2) ,
- Loi sur la qualité de l'environnement (LRQ,cQ-2) , et
- Loi sur le régime des terres dans les territoires de la Baie-James et du Nouveau-Québec (LRQ,cR-13.1).</t>
  </si>
  <si>
    <t>Amendments to Ontario Regulation 271/91 (Gasoline Volatility) to simplify reporting requirements</t>
  </si>
  <si>
    <t>CA-ON-ERO-019-4704</t>
  </si>
  <si>
    <t>https://legislation.nimonikapp.com/legislations/465189/legislation_texts</t>
  </si>
  <si>
    <t>https://ero.ontario.ca/notice/019-4704</t>
  </si>
  <si>
    <t>The Government of Ontario has proposed changes to reduce administrative requirements on the petroleum industry and simplify legislation by "aligning [...] reporting requirements with national timelines for switching from winter-grade gasoline to summer-grade gasoline." The changes would:
- require regulated facilities to "prepare only one report for the four reporting periods," by 30 September annually and require the report to be kept on-site for five years,
- align the testing period for motor gasoline with Canadian General Standards Board timelines, to 16 May through 15 September each year,
- clarify that "service stations are exempt from the 'mixing' or 'adding to' requirements," however service stations that import or refine gasoline would still be subject to gasoline volatility reporting requirements, and,
- clarify that "volatility requirements do not apply to motor gasoline that is expected to be transported for use or sale outside of Ontario."
These changes would be enacted by amending the Gasoline Volatility (OReg271/91) regulations.
Interested parties may submit comments until 7 February 2022.</t>
  </si>
  <si>
    <t>Geothermal Resource Development Regulation</t>
  </si>
  <si>
    <t>CA-AB-AR250/2021</t>
  </si>
  <si>
    <t>https://legislation.nimonikapp.com/legislations/465596/legislation_texts</t>
  </si>
  <si>
    <t>https://canlii.ca/t/bbc4</t>
  </si>
  <si>
    <t>This Regulation establishes that certain facilities are excluded from the Geothermal Resource Development Act's (CA-AB-SA2020,cG-5.5) definition of "facility".</t>
  </si>
  <si>
    <t>https://www.qp.alberta.ca/1266.cfm?page=2021_250.cfm&amp;leg_type=Regs&amp;isbncln=9780779827954&amp;display=html</t>
  </si>
  <si>
    <t>https://www.qp.alberta.ca/1266.cfm?page=2021_250.cfm&amp;leg_type=Regs&amp;isbncln=9780779827954</t>
  </si>
  <si>
    <t>Offshore Area Occupational Health and Safety Regulations</t>
  </si>
  <si>
    <t>CA-NL-NLR79/21</t>
  </si>
  <si>
    <t>https://legislation.nimonikapp.com/legislations/465669/legislation_texts</t>
  </si>
  <si>
    <t>https://canlii.ca/t/bbcs</t>
  </si>
  <si>
    <t>This Regulation establishes a framework for occupational health and safety oversight for offshore petroleum resource management operations in Newfoundland and Labrador. It contains provisions concerning reporting and investigating incidents, employee general training, emergency response and preparedness, access to first aid and medical care, ensuring employee mental and physical health and well-being, access to personal protective equipment, regulations for work permits, proper maintenance of facilities, and regulations involving the use of equipments and hazardous materials.</t>
  </si>
  <si>
    <t>Natural Resource Management, Safety Management, Emergency Preparedness and Response, Occupational Health, Equipment, Energy Management, Fines, Penalties and Sanctions</t>
  </si>
  <si>
    <t>Switches, Lockouts, Motors, Handles, Level, Valves, Gears, Fittings, Circuit Breakers, Vehicle, Pumps, Pipe, Compressors, Pipe Fittings, Seats, Alarms, Scales, Deck, Drill, Signs, Lights, Bags, Gloves, Respirators, Belts, Harnesses, Ropes, Clothing, Lamp, Helicopters, Gearshift, Telephones, Tables, Chests, Showers, Counters, Receptacles, Cabinets, Chairs, Aircraft, Screen, Tissues, Cap, Footwear, Tags, Doors, Toilets, Partitions, Dispensers, Towels, Lockers, Barrier, Ladders, Pest Control, Generators, Ballasts, Gauges, Bench, Cables, Chain, Bulkhead, Enclosures, Hopper, Tank, Bin, Walkway, Conduits, Hose, Grinders, Machine Guards, Electric Motors, Plugs, Wheels, Presses, Wire Rope, Insulation, Ground Fault Circuit Interrupters, Wire, Hoist, Nozzles, Crane, Fire Extinguishers, Ramp, Cage, Barricade, Squares, Scaffolds, Bearings, Shaft, Work Platforms, Boom, Tubes, Hooks, Jacks, Lanyards, Clamps, Anchors, Catches, Drum, Tool Boxes, Springs, Sheave, Sights, Glass, Boxes, Brakes, Warning Lights, Mirrors, Conveyor, Lifting device, Slings, Radio, Regulator, Electrode, Torches, Extension Cords, Labels, Faucets, Lifting Magnets, Magnet, Detonator, Fire suppression, Ducts, Wash Stations, Bells, Indicators, Pins, Bolt, Crane, Energy using equipment, Bit, Hose Fittings, Pens, Hoist, Gate, Drinking Fountains, Sanction, Violation, Criminal Charge, Gauge, Machine guard, Nuts, Scale, Fuse, Balance, Mats, Train, Financial Penalty, Files, Launder, Energy source, Bur, Pans, Vises, Racks, Internal combustion engine, Electric motor, Derrick, Lifeboat, Dams, Trucks, Floats, Carts, Oilers</t>
  </si>
  <si>
    <t>https://www.assembly.nl.ca/Legislation/sr/Regulations/rc210079.htm</t>
  </si>
  <si>
    <t>https://www.gov.nl.ca/dgsnl/files/NLG20211224.pdf</t>
  </si>
  <si>
    <t>Canada-Nova Scotia Offshore Area Occupational Health and Safety Regulations</t>
  </si>
  <si>
    <t>CA-NS-NSReg167/2021</t>
  </si>
  <si>
    <t>https://legislation.nimonikapp.com/legislations/465670/legislation_texts</t>
  </si>
  <si>
    <t>https://canlii.ca/t/bbf6</t>
  </si>
  <si>
    <t>This Regulation establishes a framework for occupational health and safety oversight for offshore petroleum resource management operations in Nova Scotia. It contains provisions concerning reporting and investigating occupational diseases or accidents, general training requirements for employees, an emergency response plan, access to first aid and medical care, an occupational health and safety program to focus on employee well-being, access to personal protective equipment, regulations for work permits, proper maintenance of facilities, and regulations involving the use of equipment and hazardous materials.</t>
  </si>
  <si>
    <t>Switches, Lockouts, Motors, Handles, Level, Valves, Gears, Fittings, Circuit Breakers, Vehicle, Pumps, Pipe, Compressors, Pipe Fittings, Alarms, Scales, Deck, Drill, Signs, Lights, Bags, Gloves, Respirators, Belts, Harnesses, Ropes, Clothing, Lamp, Helicopters, Seats, Gearshift, Telephones, Tables, Chests, Showers, Counters, Receptacles, Cabinets, Chairs, Screen, Tissues, Cap, Footwear, Tags, Doors, Toilets, Partitions, Dispensers, Towels, Lockers, Barrier, Ladders, Pest Control, Generators, Ballasts, Gauges, Bench, Cables, Chain, Bulkhead, Enclosures, Hopper, Tank, Bin, Walkway, Conduits, Hose, Grinders, Machine Guards, Electric Motors, Plugs, Wheels, Presses, Wire Rope, Insulation, Ground Fault Circuit Interrupters, Wire, Hoist, Nozzles, Crane, Fire Extinguishers, Ramp, Cage, Barricade, Scaffolds, Bearings, Shaft, Boom, Work Platforms, Tubes, Hooks, Jacks, Lanyards, Clamps, Anchors, Catches, Drum, Tool Boxes, Springs, Sheave, Sights, Glass, Boxes, Brakes, Warning Lights, Mirrors, Conveyor, Lifting device, Slings, Radio, Regulator, Electrode, Torches, Extension Cords, Labels, Faucets, Lifting Magnets, Magnet, Detonator, Fire suppression, Ducts, Wash Stations, Bells, Indicators, Pins, Bolt, Crane, Energy using equipment, Bit, Hose Fittings, Pens, Hoist, Gate, Drinking Fountains, Sanction, Violation, Criminal Charge, Machine guard, Nuts, Scale, Floats, Balance, Mats, Train, Financial Penalty, Files, Launder, Energy source, Bur, Pans, Vises, Racks, Internal combustion engine, Electric motor, Lifeboat, Dams, Trucks, Carts, Oilers, Gauge, Fuse, Derrick, Mill, Squares, Loops, Motor vehicle, Dyke, Traffic Signs, Taxicabs</t>
  </si>
  <si>
    <t>https://novascotia.ca/just/regulations/regs/coprareaohs.htm</t>
  </si>
  <si>
    <t>https://novascotia.ca/just/regulations/rg2/2021/RG2-2021-12-31.pdf</t>
  </si>
  <si>
    <t>Regulation respecting the integration of low-carbon-intensity fuel content into gasoline and diesel fuel</t>
  </si>
  <si>
    <t>CA-QC-OC1502-2021</t>
  </si>
  <si>
    <t>https://legislation.nimonikapp.com/legislations/466090/legislation_texts</t>
  </si>
  <si>
    <t>https://canlii.ca/t/bg9g</t>
  </si>
  <si>
    <t>This Regulation establishes the percentage by volume of low-carbon-intensity fuel content that must be integrated into the total volume of the gasoline distributed or used in Quebec by a distributor during calendar years beginning 2023, with exceptions for gasoline distributed or used in certain activities. It also establishes the mechanism for the purchase and sale of credits to promote compliance with these fuel standards, and contains recordkeeping requirements for distributors.</t>
  </si>
  <si>
    <t>Environment Management, Hazardous Materials Management, Equipment, Energy Management, Fines, Penalties and Sanctions</t>
  </si>
  <si>
    <t>Automobiles, Files, Signs, Mats, Energy efficiency and saving, Pans, Tags, Presses, Bur, Ducts, Pins, Hose, Level, Aircraft, Bit, Sanction, Violation, Criminal Charge, Tables, Pens</t>
  </si>
  <si>
    <t>http://www2.publicationsduquebec.gouv.qc.ca/dynamicSearch/telecharge.php?type=1&amp;file=105402.pdf</t>
  </si>
  <si>
    <t>Règlement sur l’intégration de contenu à faible intensité carbone dans l’essence et le carburant diesel</t>
  </si>
  <si>
    <t>CA-QC-D1502-2021</t>
  </si>
  <si>
    <t>https://legislation.nimonikapp.com/legislations/466091/legislation_texts</t>
  </si>
  <si>
    <t>https://canlii.ca/t/g5ds</t>
  </si>
  <si>
    <t>Ce règlement établit la proportion du volume de contenu à faible intensité carbone qui doit être intégré au volume total de l'essence distribuée ou utilisée au Québec par un distributeur au cours des années civiles commençant en 2023, avec des exceptions pour l'essence distribuée ou utilisée dans le cadre de certaines activités. Il établit également le mécanisme d'achat et de vente de crédits pour favoriser la conformité à ces normes de carburant et contient des exigences de tenue de registres pour les distributeurs.</t>
  </si>
  <si>
    <t>http://www2.publicationsduquebec.gouv.qc.ca/dynamicSearch/telecharge.php?type=1&amp;file=76045.pdf</t>
  </si>
  <si>
    <t>Order of the Minister of Energy and Natural Resources concerning the measurement methods and tools for the purposes of the Regulation respecting the integration of low-carbon-intensity fuel content into gasoline and diesel fuel</t>
  </si>
  <si>
    <t>CA-QC-MO2021-006(2)</t>
  </si>
  <si>
    <t>https://legislation.nimonikapp.com/legislations/466094/legislation_texts</t>
  </si>
  <si>
    <t>http://www2.publicationsduquebec.gouv.qc.ca/dynamicSearch/telecharge.php?type=1&amp;file=105408.pdf</t>
  </si>
  <si>
    <t>This regulation establishes the calculation methods to be used for determining the proportion of the volume of low-carbon-intensity fuel content integrated into the total volume of gasoline and diesel fuel.</t>
  </si>
  <si>
    <t>Environment Management, Hazardous Materials Management, Energy Management, Equipment, Fines, Penalties and Sanctions</t>
  </si>
  <si>
    <t>Cables, Bur, Mats, Ducts, Energy efficiency and saving, Sanction, Violation, Criminal Charge, Pans, Bit, Pens, Trucks</t>
  </si>
  <si>
    <t>Arrêté du ministre de l’Énergie et des Ressources naturelles concernant les méthodes et les outils de mesure pour l’application du Règlement sur l’intégration de contenu à faible intensité carbone dans l’essence et le carburant diesel</t>
  </si>
  <si>
    <t>CA-QC-AM2021-006(2)</t>
  </si>
  <si>
    <t>https://legislation.nimonikapp.com/legislations/466095/legislation_texts</t>
  </si>
  <si>
    <t>http://www2.publicationsduquebec.gouv.qc.ca/dynamicSearch/telecharge.php?type=1&amp;file=76059.pdf</t>
  </si>
  <si>
    <t>Ce règlement établit les méthodes de calcul à utiliser pour déterminer la proportion du volume de contenu à faible intensité de carbone intégrée au volume total d'essence et de carburant diesel.</t>
  </si>
  <si>
    <t>Canada–Newfoundland and Labrador Offshore Area Occupational Health and Safety Regulations</t>
  </si>
  <si>
    <t>CA-SOR/2021-247</t>
  </si>
  <si>
    <t>https://legislation.nimonikapp.com/legislations/466096/legislation_texts</t>
  </si>
  <si>
    <t>https://canlii.ca/t/bbdk</t>
  </si>
  <si>
    <t>This regulation establishes occupational health and safety rules for the agreement on offshore petroleum resource management between the Government of Canada and the Government of Newfoundland and Labrador. The provisions of this regulation concern reporting and investigating occupational diseases or accidents, general training requirements for employees, emergency response planning, access to first aid and medical care, occupational health and safety programs to focus on employee well-being, access to personal protective equipment, regulations for work permits, proper maintenance of facilities, and regulations involving the use of equipments and hazardous materials.</t>
  </si>
  <si>
    <t>Natural Resource Management, Safety Management, Occupational Health, Emergency Preparedness and Response, Energy Management, Equipment, Fines, Penalties and Sanctions</t>
  </si>
  <si>
    <t>Ladders, Electrode, Bin, Wire, Tool Boxes, Harnesses, Pins, Ovens, Gears, Bolt, Walkway, Hooks, Conveyor, Ground Fault Circuit Interrupters, Parallels, Lanyards, Glass, Level, Gloves, Machine Guards, Crane, Lights, Lifting Magnets, Vehicle, Energy using equipment, Compressors, Jacks, Bit, Bells, Gauges, Showers, Respirators, Pumps, Clamps, Carts, Barrier, Cap, Hose Fittings, Alarms, Pens, Drill, Hoist, Mirrors, Conduits, Cables, Detonator, Regulator, Sights, Faucets, Dispensers, Gate, Brakes, Signs, Fire suppression, Pipe, Helicopters, Drinking Fountains, Doors, Hose, Circuit Breakers, Oilers, Ramp, Chain, Wash Stations, Chairs, Switches, Pest Control, Torches, Cabinets, Generators, Barricade, Telephones, Handles, Fittings, Counters, Receptacles, Motors, Hopper, Towels, Sanction, Violation, Criminal Charge, Clothing, Tags, Nozzles, Radio, Gauge, Lockers, Catches, Warning Lights, Insulation, Extension Cords, Toilets, Machine guard, Nuts, Scale, Lockouts, Fuse, Labels, Enclosures, Floats, Electric Motors, Valves, Balance, Aircraft, Wire Rope, Mats, Chests, Flags, Anchors, Train, Scaffolds, Ropes, Shaft, Deck, Financial Penalty, Crane, Magnet, Files, Drum, Launder, Screen, Tap, Lamp, Tissues, Energy source, Partitions, Presses, Bur, Tubes, Wheels, Ducts, Bench, Pans, Sheave, Mill, Pipe Fittings, Vises, Racks, Boom, Internal combustion engine, Tank, Hoist, Boxes, Electric motor, Slings, Lifting device, Seats, Grinders, Bags, Plugs, Bulkhead, Derrick, Lifeboat, Belts, Dams, Fire Extinguishers, Cage, Trucks, Footwear, Synchro, Scales, Work Platforms, Bearings, Ballasts, Tables, Springs, Indicators</t>
  </si>
  <si>
    <t>https://canadagazetteducanada.gc.ca/rp-pr/p2/2021/2021-12-22/html/sor-dors247-eng.html</t>
  </si>
  <si>
    <t>https://canadagazetteducanada.gc.ca/rp-pr/p2/2021/2021-12-22/pdf/g2-15526.pdf</t>
  </si>
  <si>
    <t>CA-DORS/2021-247</t>
  </si>
  <si>
    <t>https://legislation.nimonikapp.com/legislations/466097/legislation_texts</t>
  </si>
  <si>
    <t>https://canlii.ca/t/g1hw</t>
  </si>
  <si>
    <t>Ce règlement établit des règles de santé et de sécurité au travail pour l'accord sur la gestion des ressources pétrolières extracôtières entre le gouvernement du Canada et le gouvernement de Terre-Neuve-et-Labrador. Les provisions de ce règlement concernent la déclaration et l'investigation des maladies ou des accidents professionnels, les exigences de formation générale pour les employés, les plans d'intervention d'urgence, l'accès aux premiers soins et aux soins médicaux, les programmes de santé et de sécurité au travail axé sur le bien-être des employés, l'accès à l'équipement de protection individuelle, les règlements pour les permis de travail, l'entretien approprié des installations, et les règlements concernant l'utilisation des équipements et des matières dangereuses.</t>
  </si>
  <si>
    <t>https://canadagazetteducanada.gc.ca/rp-pr/p2/2021/2021-12-22/html/sor-dors247-fra.html</t>
  </si>
  <si>
    <t>Canada–Nova Scotia Offshore Area Occupational Health and Safety Regulations</t>
  </si>
  <si>
    <t>CA-SOR/2021-248</t>
  </si>
  <si>
    <t>https://legislation.nimonikapp.com/legislations/466098/legislation_texts</t>
  </si>
  <si>
    <t>https://canlii.ca/t/bbdj</t>
  </si>
  <si>
    <t>This regulation establishes occupational health and safety rules for the agreement on offshore petroleum resource management between the Government of Canada and the Government of Nova Scotia. The provisions of this regulation concern reporting and investigating occupational diseases or accidents, general training requirements for employees, emergency response planning, access to first aid and medical care, occupational health and safety programs to focus on employee well-being, access to personal protective equipment, regulations for work permits, proper maintenance of facilities, and regulations involving the use of equipments and hazardous materials.</t>
  </si>
  <si>
    <t>Natural Resource Management, Safety Management, Occupational Health, Emergency Preparedness and Response, Equipment, Energy Management, Fines, Penalties and Sanctions</t>
  </si>
  <si>
    <t>Ladders, Cables, Bin, Sights, Presses, Bur, Wheels, Toilets, Ducts, Pans, Nuts, Pipe Fittings, Scale, Lockouts, Gate, Vises, Pins, Racks, Signs, Fire suppression, Fuse, Pipe, Gears, Labels, Hoist, Helicopters, Doors, Hose, Enclosures, Level, Bags, Valves, Balance, Gloves, Crane, Lights, Mats, Lifeboat, Train, Dams, Scaffolds, Ropes, Energy using equipment, Compressors, Jacks, Bit, Bells, Scales, Deck, Handles, Crane, Work Platforms, Respirators, Fittings, Showers, Financial Penalty, Pumps, Motors, Sanction, Violation, Criminal Charge, Barrier, Clothing, Cap, Tables, Tags, Alarms, Pens, Drill, Energy source, Hoist, Electrode, Wire, Tool Boxes, Harnesses, Bolt, Walkway, Hooks, Conveyor, Ground Fault Circuit Interrupters, Lanyards, Glass, Machine Guards, Lifting Magnets, Vehicle, Gauges, Clamps, Carts, Hose Fittings, Mirrors, Conduits, Detonator, Regulator, Faucets, Dispensers, Brakes, Drinking Fountains, Circuit Breakers, Oilers, Ramp, Chain, Wash Stations, Chairs, Switches, Pest Control, Torches, Cabinets, Generators, Barricade, Telephones, Counters, Receptacles, Hopper, Towels, Nozzles, Radio, Gauge, Lockers, Catches, Warning Lights, Insulation, Extension Cords, Machine guard, Floats, Electric Motors, Aircraft, Wire Rope, Chests, Anchors, Shaft, Magnet, Files, Drum, Launder, Screen, Lamp, Tissues, Partitions, Tubes, Bench, Sheave, Boom, Internal combustion engine, Tank, Boxes, Electric motor, Slings, Lifting device, Seats, Grinders, Plugs, Bulkhead, Derrick, Belts, Fire Extinguishers, Cage, Trucks, Footwear, Bearings, Ballasts, Springs, Indicators</t>
  </si>
  <si>
    <t>https://canadagazetteducanada.gc.ca/rp-pr/p2/2021/2021-12-22/html/sor-dors248-eng.html</t>
  </si>
  <si>
    <t>CA-DORS/2021-248</t>
  </si>
  <si>
    <t>https://legislation.nimonikapp.com/legislations/466099/legislation_texts</t>
  </si>
  <si>
    <t>https://canlii.ca/t/g1hv</t>
  </si>
  <si>
    <t>Ce règlement établit des règles de santé et de sécurité au travail pour l'accord sur la gestion des ressources pétrolières extracôtières entre le gouvernement du Canada et le gouvernement de la Nouvelle-Écosse. Les provisions de ce règlement concernent la déclaration et l'investigation des maladies ou des accidents professionnels, les exigences de formation générale pour les employés, les plans d'intervention d'urgence, l'accès aux premiers soins et aux soins médicaux, les programmes de santé et de sécurité au travail axé sur le bien-être des employés, l'accès à l'équipement de protection individuelle, les règlements pour les permis de travail, l'entretien approprié des installations, et les règlements concernant l'utilisation des équipements et des matières dangereuses.</t>
  </si>
  <si>
    <t>https://canadagazetteducanada.gc.ca/rp-pr/p2/2021/2021-12-22/html/sor-dors248-fra.html</t>
  </si>
  <si>
    <t>Energy Monitoring Act</t>
  </si>
  <si>
    <t>CA-RSC1985,cE-8</t>
  </si>
  <si>
    <t>https://legislation.nimonikapp.com/legislations/466368/legislation_texts</t>
  </si>
  <si>
    <t>https://canlii.ca/t/7vg1</t>
  </si>
  <si>
    <t>This Act concerns energy monitoring. The provisions cover the monitoring of energy enterprises and oil/gas dealers and the all relevant information requirements (reports, records, statistics, etc.)</t>
  </si>
  <si>
    <t>Security and Public Safety, Natural Resource Management, Privacy and Access to Information, Equipment, Fines, Penalties and Sanctions</t>
  </si>
  <si>
    <t>Signs, Financial Penalty, Bin, Presses, Files, Mats, Ducts, Sanction, Violation, Criminal Charge, Hose, Cap, Mill, Pens</t>
  </si>
  <si>
    <t>https://laws-lois.justice.gc.ca/eng/acts/E-8/FullText.html</t>
  </si>
  <si>
    <t>Loi sur la surveillance du secteur énergétique</t>
  </si>
  <si>
    <t>CA-LRC1985,chE-8</t>
  </si>
  <si>
    <t>https://legislation.nimonikapp.com/legislations/466369/legislation_texts</t>
  </si>
  <si>
    <t>https://canlii.ca/t/ckkc</t>
  </si>
  <si>
    <t>Loi concernant la surveillance du secteur énergétique. Les dispositions couvrent la surveillance des entreprises énergétiques et des négociants en pétrole/gaz et toutes les exigences d'informations pertinentes (rapports, registres, statistiques, etc.)</t>
  </si>
  <si>
    <t>https://laws-lois.justice.gc.ca/fra/lois/e-8/TexteComplet.html</t>
  </si>
  <si>
    <t>Petroleum and Gas Revenue Tax Act</t>
  </si>
  <si>
    <t>CA-RSC1985,cP-12</t>
  </si>
  <si>
    <t>https://legislation.nimonikapp.com/legislations/466396/legislation_texts</t>
  </si>
  <si>
    <t>https://canlii.ca/t/7vk2</t>
  </si>
  <si>
    <t>An Act to provide for a revenue tax in respect of petroleum and gas.</t>
  </si>
  <si>
    <t>Cables, Bin, Presses, Bur, Ducts, Pans, Gate, Pins, Signs, Hose, Reservoirs, Davits, Mats, Ropes, Bit, Financial Penalty, Files, Sanction, Violation, Criminal Charge, Cap, Tables, Tags, Pens, Drill</t>
  </si>
  <si>
    <t>https://laws-lois.justice.gc.ca/eng/acts/P-12/FullText.html</t>
  </si>
  <si>
    <t>Loi de l’impôt sur les revenus pétroliers</t>
  </si>
  <si>
    <t>CA-LRC1985,chP-12</t>
  </si>
  <si>
    <t>https://legislation.nimonikapp.com/legislations/466397/legislation_texts</t>
  </si>
  <si>
    <t>https://canlii.ca/t/cknd</t>
  </si>
  <si>
    <t>Loi prévoyant un impôt sur les revenus pétroliers.</t>
  </si>
  <si>
    <t>https://laws-lois.justice.gc.ca/fra/lois/p-12/TexteComplet.html</t>
  </si>
  <si>
    <t>https://legislation.nimonikapp.com/legislations/466890/legislation_texts</t>
  </si>
  <si>
    <t>https://ero.ontario.ca/notice/019-4770</t>
  </si>
  <si>
    <t>The Government of Ontario has announced its intention to create a new regulatory framework for carbon storage by removing current barriers in the Province. According to the Ontario Government, the changes would notably:
- narrow prohibitions on the injection of carbon dioxide so that they only apply carbon sequestration "when used in association with a project to enhance the recovery of oil or gas",
- enable the Ministry of Northern Development, Mining, Natural Resources and Forestry (NDMNRF) to "enter into agreements with companies that want to use wells to explore, test, pilot or demonstrate new technologies" and in turn create new types of projects in such subsurface spaces where oil, gas, salt or underground storage occur,
- "enhance provisions for corporate accountability and enhance existing protections to allow for the issuance of orders to prevent risks to the public or environment", and
- allow the NDMNRF to grant authorizations to use Crown land for carbon storage activities.
These changes would be implemented by amending the Oil, Gas and Salt Resources Act (RSO1990,cP.12) and the Mining Act (RSO1990,cM.14).
Interested persons are invited to submit comments until 14 March 2022.</t>
  </si>
  <si>
    <t>Canada–Newfoundland and Labrador Offshore Petroleum Financial Requirements Regulations</t>
  </si>
  <si>
    <t>CA-SOR/2016-23</t>
  </si>
  <si>
    <t>https://legislation.nimonikapp.com/legislations/469185/legislation_texts</t>
  </si>
  <si>
    <t>https://canlii.ca/t/8z21</t>
  </si>
  <si>
    <t>This document implements regulations concerning Canada–Newfoundland and Labrador offshore petroleum financial requirements.</t>
  </si>
  <si>
    <t>Signs, Financial Penalty, Bur, Mats, Sanction, Violation, Criminal Charge, Hose, Pans, Cap, Dams, Tables, Mill, Pens</t>
  </si>
  <si>
    <t>https://laws-lois.justice.gc.ca/eng/regulations/SOR-2016-23/FullText.html</t>
  </si>
  <si>
    <t>Règlement sur les exigences financières en matière d’hydrocarbures dans la zone extracôtière Canada — Terre-Neuve-et-Labrador</t>
  </si>
  <si>
    <t>CA-DORS/2016-23</t>
  </si>
  <si>
    <t>https://legislation.nimonikapp.com/legislations/469186/legislation_texts</t>
  </si>
  <si>
    <t>https://canlii.ca/t/dn5c</t>
  </si>
  <si>
    <t>Ce document met en œuvre des règles concernant les exigences financières en matière d’hydrocarbures dans la zone extracôtière Canada — Terre-Neuve-et-Labrador.</t>
  </si>
  <si>
    <t>https://laws-lois.justice.gc.ca/fra/reglements/DORS-2016-23/TexteComplet.html</t>
  </si>
  <si>
    <t>Canada-Nova Scotia Offshore Petroleum Financial Requirements Regulations</t>
  </si>
  <si>
    <t>CA-SOR/2016-24</t>
  </si>
  <si>
    <t>https://legislation.nimonikapp.com/legislations/469189/legislation_texts</t>
  </si>
  <si>
    <t>https://canlii.ca/t/8z22</t>
  </si>
  <si>
    <t>This document implements regulations concerning Canada-Nova Scotia offshore petroleum financial requirements (resources/responsibilities).</t>
  </si>
  <si>
    <t>https://laws-lois.justice.gc.ca/eng/regulations/SOR-2016-24/FullText.html</t>
  </si>
  <si>
    <t>Règlement sur les exigences financières en matière d’hydrocarbures dans la zone extracôtière Canada — Nouvelle-Écosse</t>
  </si>
  <si>
    <t>CA-DORS/2016-24</t>
  </si>
  <si>
    <t>https://legislation.nimonikapp.com/legislations/469190/legislation_texts</t>
  </si>
  <si>
    <t>https://canlii.ca/t/dn5d</t>
  </si>
  <si>
    <t>Ce document met en œuvre les règlements concernant les exigences financières Canada-Nouvelle-Écosse pour le pétrole extracôtier (ressources/responsabilités).</t>
  </si>
  <si>
    <t>https://laws-lois.justice.gc.ca/fra/reglements/DORS-2016-24/TexteComplet.html</t>
  </si>
  <si>
    <t>Oil and Gas Land Order No. 1-1962</t>
  </si>
  <si>
    <t>CA-CRC,c1521</t>
  </si>
  <si>
    <t>https://legislation.nimonikapp.com/legislations/469467/legislation_texts</t>
  </si>
  <si>
    <t>https://canlii.ca/t/7w8j</t>
  </si>
  <si>
    <t>Order respecting the granting of exploratory permits upon tender for Canada lands returned to her majesty.</t>
  </si>
  <si>
    <t>Financial Penalty, Tender, Hose, Pens, Drill, Pins</t>
  </si>
  <si>
    <t>https://laws-lois.justice.gc.ca/eng/regulations/C.R.C.,_c._1521/FullText.html</t>
  </si>
  <si>
    <t>Ordonnance no 1-1962 sur les terres pétrolifères et gazifères</t>
  </si>
  <si>
    <t>CA-CRC,ch1521</t>
  </si>
  <si>
    <t>https://legislation.nimonikapp.com/legislations/469468/legislation_texts</t>
  </si>
  <si>
    <t>https://canlii.ca/t/clcv</t>
  </si>
  <si>
    <t>Cette ordonnance concerne l’octroi de permis de sondage sur soumission à l’égard des terres du Canada ayant fait retour à sa majesté.</t>
  </si>
  <si>
    <t>https://laws-lois.justice.gc.ca/fra/reglements/C.R.C.%2C_ch._1521/TexteComplet.html</t>
  </si>
  <si>
    <t>Oil and Gas Land Order No. 2-1961</t>
  </si>
  <si>
    <t>CA-CRC,c1520</t>
  </si>
  <si>
    <t>https://legislation.nimonikapp.com/legislations/469469/legislation_texts</t>
  </si>
  <si>
    <t>https://canlii.ca/t/7w8h</t>
  </si>
  <si>
    <t>Order respecting the granting of oil and gas leases upon tender for Canadian lands returned to her majesty.</t>
  </si>
  <si>
    <t>Financial Penalty, Tender, Ducts, Hose, Reservoirs, Pens, Drill, Pins</t>
  </si>
  <si>
    <t>https://laws-lois.justice.gc.ca/eng/regulations/C.R.C.,_c._1520/FullText.html</t>
  </si>
  <si>
    <t>Ordonnance no 2-1961 sur les terres pétrolifères et gazifères</t>
  </si>
  <si>
    <t>CA-CRC,ch1520</t>
  </si>
  <si>
    <t>https://legislation.nimonikapp.com/legislations/469470/legislation_texts</t>
  </si>
  <si>
    <t>https://canlii.ca/t/clct</t>
  </si>
  <si>
    <t>Cette ordonnance concerne l’octroi de concessions de pétrole et de gaz sur soumission à l’égard de terres du Canada ayant fait retour à sa majesté.</t>
  </si>
  <si>
    <t>https://laws-lois.justice.gc.ca/fra/reglements/C.R.C.%2C_ch._1520/TexteComplet.html</t>
  </si>
  <si>
    <t>Oil Import Compensation Regulations No. 1, 1975</t>
  </si>
  <si>
    <t>CA-CRC,c335</t>
  </si>
  <si>
    <t>https://legislation.nimonikapp.com/legislations/469471/legislation_texts</t>
  </si>
  <si>
    <t>https://canlii.ca/t/7wf4</t>
  </si>
  <si>
    <t>This document implements regulations providing for compensation to certain refiners and importers of crude oil and petroleum products for consumption in Canada.</t>
  </si>
  <si>
    <t>Ducts, Pans, Scale, Gate, Vises, Pins, Ovens, Signs, Pipe, Tank, Hose, Reservoirs, Level, Aircraft, Mats, Ropes, Energy using equipment, Scales, Financial Penalty, Barge, Motors, Tanker, Tables, Pens</t>
  </si>
  <si>
    <t>CA-RSC1985,cZ-01</t>
  </si>
  <si>
    <t>https://laws-lois.justice.gc.ca/eng/regulations/C.R.C.,_c._335/FullText.html</t>
  </si>
  <si>
    <t>Règlement no 1 de 1975 sur l’indemnité d’importation du pétrole</t>
  </si>
  <si>
    <t>CA-CRC,ch335</t>
  </si>
  <si>
    <t>https://legislation.nimonikapp.com/legislations/469472/legislation_texts</t>
  </si>
  <si>
    <t>https://canlii.ca/t/cljg</t>
  </si>
  <si>
    <t>Ce document met en œuvre les règlements prévoyants le versement d’une indemnité à certains raffineurs et importateurs de pétrole brut et de produits pétroliers destinés à la consommation au Canada.</t>
  </si>
  <si>
    <t>https://laws-lois.justice.gc.ca/fra/reglements/C.R.C.%2C_ch._335/TexteComplet.html</t>
  </si>
  <si>
    <t>Pipeline Arbitration Committee Procedure Rules, 1986</t>
  </si>
  <si>
    <t>CA-SOR/86-787</t>
  </si>
  <si>
    <t>https://legislation.nimonikapp.com/legislations/469505/legislation_texts</t>
  </si>
  <si>
    <t>https://canlii.ca/t/7zq1</t>
  </si>
  <si>
    <t>This document implements rules respecting public hearings held by an arbitration committee pursuant to section 75.16 of the National Energy Board Act.</t>
  </si>
  <si>
    <t>Cables, Ducts, Pans, Pins, Signs, Pipe, Clocks, Hose, Davits, Mats, Dams, Energy using equipment, Bit, Financial Penalty, Files, Sanction, Violation, Criminal Charge, Cap, Pens</t>
  </si>
  <si>
    <t>https://laws-lois.justice.gc.ca/eng/regulations/SOR-86-787/FullText.html</t>
  </si>
  <si>
    <t>Règles de 1986 sur la procédure des comités d’arbitrage sur les pipes-lines</t>
  </si>
  <si>
    <t>CA-DORS/86-787</t>
  </si>
  <si>
    <t>https://legislation.nimonikapp.com/legislations/469506/legislation_texts</t>
  </si>
  <si>
    <t>https://canlii.ca/t/cntc</t>
  </si>
  <si>
    <t>Ce document met en œuvre les règles concernant les audiences publiques tenues par un comité d’arbitrage en vertu de l’article 75.16 de la Loi sur l’Office national de l’énergie.</t>
  </si>
  <si>
    <t>https://laws-lois.justice.gc.ca/fra/reglements/DORS-86-787/TexteComplet.html</t>
  </si>
  <si>
    <t>Port of Prince Rupert Liquefied Natural Gas Facilities Regulations</t>
  </si>
  <si>
    <t>CA-SOR/2016-260</t>
  </si>
  <si>
    <t>https://legislation.nimonikapp.com/legislations/469511/legislation_texts</t>
  </si>
  <si>
    <t>https://canlii.ca/t/8znb</t>
  </si>
  <si>
    <t>This document concerns the port of Prince Rupert liquefied natural gas facilities. The provisions cover the application of laws (powers, duties, functions) and the designated class of undertakings.</t>
  </si>
  <si>
    <t>Natural Resource Management, Energy Management, Equipment, Fines, Penalties and Sanctions</t>
  </si>
  <si>
    <t>Signs, Financial Penalty, Cables, Pipe, Mats, Sanction, Violation, Criminal Charge, Ropes, Energy using equipment, Pens</t>
  </si>
  <si>
    <t>SC1998,c10</t>
  </si>
  <si>
    <t>https://laws-lois.justice.gc.ca/eng/regulations/SOR-2016-260/FullText.html</t>
  </si>
  <si>
    <t>Règlement sur les installations de gaz naturel liquéfié au port de Prince-Rupert</t>
  </si>
  <si>
    <t>CA-DORS/2016-260</t>
  </si>
  <si>
    <t>https://legislation.nimonikapp.com/legislations/469512/legislation_texts</t>
  </si>
  <si>
    <t>https://canlii.ca/t/dnrn</t>
  </si>
  <si>
    <t>Ce document concerne les installations de gaz naturel liquéfié au port de Prince-Rupert. Les dispositions couvrent l'application des lois (pouvoirs, devoirs, fonctions) et la catégorie d'entreprises désignée.</t>
  </si>
  <si>
    <t>https://laws-lois.justice.gc.ca/fra/reglements/DORS-2016-260/TexteComplet.html</t>
  </si>
  <si>
    <t>https://legislation.nimonikapp.com/legislations/469915/legislation_texts</t>
  </si>
  <si>
    <t>http://assnat.qc.ca/en/travaux-parlementaires/projets-loi/projet-loi-21-42-2.html</t>
  </si>
  <si>
    <t>The Government of Quebec has proposed rules to end the "exploration for petroleum and underground reservoirs and production of petroleum and brine". Existing petroleum exploration and production licences and authorizations to produce brine would be revoked, and holders of revoked licences would be required "to permanently close wells and restore sites" following certain conditions, with exceptions for wells "for which the Minister of Energy and Natural Resources may authorize pilot projects for the purpose of acquiring geoscience knowledge".
Related changes to the Petroleum Resources Act (CA-QC-CQLRcH-4.2) would "limit its scope to natural gas storage and natural gas and oil pipelines".
The changes would be made by enacting An Act mainly to end petroleum exploration and production and the public financing of those activities, which makes consequential amendments to documents including the Natural Heritage Conservation Act (RSQ,cC-61.01), An Act respecting the conservation and development of wildlife (RSQ,cC-61.1), the Environmental Quality Act (RSQ,cQ-2), and An Act respecting the Land regime in the James Bay and New Québec territories (RSQ,cR-13.1).</t>
  </si>
  <si>
    <t>Projet de loi n° 21, Loi visant principalement à mettre fin à la recherche et à la production d’hydrocarbures ainsi qu’au financement public de ces activités</t>
  </si>
  <si>
    <t>CA-QC-PL21(42-2)</t>
  </si>
  <si>
    <t>https://legislation.nimonikapp.com/legislations/469916/legislation_texts</t>
  </si>
  <si>
    <t>http://assnat.qc.ca/fr/travaux-parlementaires/projets-loi/projet-loi-21-42-2.html</t>
  </si>
  <si>
    <t>Le gouvernement du Québec a proposé des règles pour mettre fin à « la recherche d’hydrocarbures ou de réservoirs souterrains, à la production d’hydrocarbures et à l’exploitation de la saumure ». Les licences d'exploration et de production de pétrole et les autorisations de production de saumure existants seraient révoqués, et les titulaires de permis révoqués seraient tenus « de procéder à la fermeture définitive des puits et a la restauration des sites » conformément à certaines conditions, avec des exceptions pour les puits « desquels le ministre de l'Énergie et des Ressources naturelles peut autoriser des projets pilotes pour l'acquisition des connaissances géoscientifiques ».
Des changements connexes à la Loi sur les hydrocarbures (CA-QC-RLRQcH-4.2) permettraient de « limiter la portée au stockage du gaz naturel et aux conduites de gaz naturel et de pétrole ».
Les changements seraient apportés par l'adoption de la Loi visant principalement à mettre fin à la recherche et à la production d’hydrocarbures ainsi qu’au financement public de ces activités, qui modifie en conséquence des documents incluant la Loi sur la conservation du patrimoine naturel (LRQ,cC-61.01), la Loi sur la conservation et la mise en valeur de la faune (LRQ,cC-61.1), la Loi sur la qualité de l'environnement (LRQ,cQ-2) et la Loi sur le régime des terres dans les territoires de la Baie-James et du Nouveau-Québec (LRQ,cR-13.1).</t>
  </si>
  <si>
    <t>https://legislation.nimonikapp.com/legislations/485363/legislation_texts</t>
  </si>
  <si>
    <t>https://canlii.ca/t/bg57</t>
  </si>
  <si>
    <t>This Regulation applies to specific named petroleum facilities. It establishes the maximum amount of sulphur dioxide which may be discharged into the air by those petroleum facilities, and specifies the method by which sulphur dioxide emissions are to be calculated. It also establishes requirements for continuous monitoring, quarterly and annual reporting, and record-keeping of sulphur dioxide discharge into the air.</t>
  </si>
  <si>
    <t>Air Emissions and Ambient Air Quality, Hazardous Materials Management, Equipment, Energy Management, Fines, Penalties and Sanctions</t>
  </si>
  <si>
    <t>Heaters, Furnaces, Pile, Tables, Conveyance, Squares, Cables, Bin, Presses, Bur, Ducts, Nuts, Mill, Gate, Racks, Pins, Signs, Hose, Oilers, Mats, Ropes, Energy using equipment, Financial Penalty, Files, Cap, Pens, Energy source</t>
  </si>
  <si>
    <t>https://www.ontario.ca/laws/regulation/r22088</t>
  </si>
  <si>
    <t>https://legislation.nimonikapp.com/legislations/491722/legislation_texts</t>
  </si>
  <si>
    <t>https://publications.gc.ca/collections/collection_2022/ongc-cgsb/P29-003-005-2022-eng.pdf</t>
  </si>
  <si>
    <t>This Standard for automotive gasoline quality applies to four grades of gasoline (regular, mid-grade, permium, and super-premium) to which no lead or phosphorus compounds have been added. These gasolines are intended for use in spark-ignition engines under a wide range of climatic conditions. This Standard does not apply to the mixing of oxygenated gasolines and gasolines, either at the point of retail sale or after the point of retail sale.</t>
  </si>
  <si>
    <t>https://publications.gc.ca/site/eng/9.904470/publication.html</t>
  </si>
  <si>
    <t>Essence automobile</t>
  </si>
  <si>
    <t>CA-CAN/CGSB-3.5-2021.fr</t>
  </si>
  <si>
    <t>https://legislation.nimonikapp.com/legislations/491723/legislation_texts</t>
  </si>
  <si>
    <t>https://publications.gc.ca/collections/collection_2022/ongc-cgsb/P29-003-005-2022-fra.pdf</t>
  </si>
  <si>
    <t>Cette norme pour la qualité de l'essence automobile s’applique à quatre qualités d’essence (ordinaire, intermédiaire, supercarburant et supercarburant de qualité supérieure) sans plomb ni phosphore qui sont destinées à être utilisées dans les moteurs à allumage commandé sous diverses conditions climatiques. Cette norme n'applique pas au mélange d’essences et d’essences oxygénées qui s’effectue au point de vente au détail ou après le point de vente au détail.</t>
  </si>
  <si>
    <t>CAN/CGSB-3.5-2016.fr</t>
  </si>
  <si>
    <t>https://publications.gc.ca/site/eng/9.904473/publication.html</t>
  </si>
  <si>
    <t>https://legislation.nimonikapp.com/legislations/491730/legislation_texts</t>
  </si>
  <si>
    <t>https://publications.gc.ca/collections/collection_2021/ongc-cgsb/P29-003-511-2021-eng.pdf</t>
  </si>
  <si>
    <t>This Standard for fuel quality applies to two types of oxygenated gasoline, E1-E10 (“Type A”) and E11-E15 (“Type B”), to which no lead or phosphorus compounds have been added, and in which the oxygenate consists essentially of ethanol. These types of gasoline are intended for use in spark-ignition engines under a wide range of climatic conditions.</t>
  </si>
  <si>
    <t>https://publications.gc.ca/site/eng/9.904474/publication.html</t>
  </si>
  <si>
    <t>Essence automobile oxygénée contenant de l’éthanol (E1-E10 et E11-E15)</t>
  </si>
  <si>
    <t>CA-CAN/CGSB-3.511-2021.fr</t>
  </si>
  <si>
    <t>https://legislation.nimonikapp.com/legislations/491731/legislation_texts</t>
  </si>
  <si>
    <t>https://publications.gc.ca/collections/collection_2021/ongc-cgsb/P29-003-511-2021-fra.pdf</t>
  </si>
  <si>
    <t>Cette norme pour la qualité du carburant s’applique à deux types d’essence oxygénée, E1-E10 (type A) et E11-E15 (type B), sans plomb ni phosphore dont l’oxygène est apporté principalement par l’éthanol. Ces types d’essence sont destinés à être utilisés dans les moteurs à allumage commandé sous diverses conditions climatiques.</t>
  </si>
  <si>
    <t>CAN/CGSB-3.511-2016.fr</t>
  </si>
  <si>
    <t>https://publications.gc.ca/site/fra/9.904475/publication.html</t>
  </si>
  <si>
    <t>https://legislation.nimonikapp.com/legislations/496977/legislation_texts</t>
  </si>
  <si>
    <t>https://canlii.ca/t/bg46</t>
  </si>
  <si>
    <t>This notice extends the moratorium on oil and gas activities (exploration and drilling for and the production, conservation and processing of petroleum, and transportation of petroleum) on Georges Bank.</t>
  </si>
  <si>
    <t>Mirrors, Catches, Regulator, Presses, Bur, Ducts, Mill, Energy consumption and conservation, Squares, Signs, Studs, Level, Lights, Mats, Dams, Bit, Telephones, Counters, Sanction, Violation, Criminal Charge, Pens, Drill, Energy source</t>
  </si>
  <si>
    <t>https://canadagazetteducanada.gc.ca/rp-pr/p2/2022/2022-04-27/html/sor-dors82-eng.html</t>
  </si>
  <si>
    <t>https://canadagazetteducanada.gc.ca/rp-pr/p2/2022/2022-04-27/pdf/g2-15609.pdf</t>
  </si>
  <si>
    <t>Avis conjoint prolongeant la période d’interdiction de certaines activités sur le banc de Georges</t>
  </si>
  <si>
    <t>CA-DORS/2022-82</t>
  </si>
  <si>
    <t>https://legislation.nimonikapp.com/legislations/496978/legislation_texts</t>
  </si>
  <si>
    <t>https://canlii.ca/t/g57j</t>
  </si>
  <si>
    <t>Cet avis prolonge le moratoire sur les activités pétrolières et gazières (recherche, notamment par forage, la production, la rationalisation de l’exploitation et la transformation des hydrocarbures, et le transport des hydrocarbures) sur le banc de Georges.</t>
  </si>
  <si>
    <t>https://canadagazetteducanada.gc.ca/rp-pr/p2/2022/2022-04-27/html/sor-dors82-fra.html</t>
  </si>
  <si>
    <t>https://legislation.nimonikapp.com/legislations/498678/legislation_texts</t>
  </si>
  <si>
    <t>https://novascotia.ca/just/regulations/rg2/2022/RG2-2022-05-06.pdf</t>
  </si>
  <si>
    <t>Partitions, Cables, Bin, Presses, Bur, Ducts, Bench, Pans, Gate, Vises, Pins, Signs, Labels, Doors, Level, Drill, Chairs, Lights, Mats, Chests, Train, Dams, Energy using equipment, Bit, Bells, Handles, Financial Penalty, Files, Pumps, Sanction, Violation, Criminal Charge, Cap, Tables, Tags, Pens, Springs</t>
  </si>
  <si>
    <t>https://www.leg.bc.ca/Pages/BCLASS-Legacy.aspx#%2Fcontent%2Fdata%2520-%2520ldp%2Fpages%2F42nd3rd%2F1st_read%2Fgov15-1.htm</t>
  </si>
  <si>
    <t>The British Columbia Government has announced its intention to replace the Greenhouse Gas Reduction (Renewable and Low Carbon Fuel Requirements) Act (SBC2008,c16) with a new Low Carbon Fuels Act.
According to the BC Government, the changes would notably:
- authorize “the provision of compliance credits for direct air-capture and permanent sequestration of greenhouse gases”,
- require “some utilities to direct a portion of their revenues from the sale of low-carbon fuel credits toward programs dedicated to increasing the use of low-carbon products”,
- enable “those who are not fuel suppliers to earn low-carbon fuel credits and engage in credit trading”, and
- broaden the scope of BC’s Low Carbon Fuel Standards to “include fuel supplied for aviation and marine use”. 
Additional information is available &lt;a href="https://news.gov.bc.ca/releases/2022EMLI0032-000730" target="_blank"&gt;here&lt;/a&gt;.</t>
  </si>
  <si>
    <t>https://www.leg.bc.ca/parliamentary-business/legislation-debates-proceedings/42nd-parliament/3rd-session/bills/progress-of-bills</t>
  </si>
  <si>
    <t>https://legislation.nimonikapp.com/legislations/499888/legislation_texts</t>
  </si>
  <si>
    <t>https://canlii.ca/t/bhrf</t>
  </si>
  <si>
    <t>This document prohibits exploration for petroleum and production of petroleum and brine, and exploration for underground reservoirs to explore for, store, or product petroleum or brine. It also revokes petroleum exploration and production licences, provides for a compensation program for revoked licences, and requires holders of revoked licences to permanently close wells and restore sites.</t>
  </si>
  <si>
    <t>Conduits, Cables, Regulator, Bin, Presses, Bur, Ducts, Pans, Gate, Vises, Pins, Energy consumption and conservation, Signs, Fuse, Pipe, Studs, Hose, Sinks, Reservoirs, Drill, Mats, Vehicle, Dams, Ropes, Energy using equipment, Compressors, Bit, Financial Penalty, Files, Pumps, Bearings, Sanction, Violation, Criminal Charge, Tables, Tags, Pens, Springs, Energy source</t>
  </si>
  <si>
    <t>http://www2.publicationsduquebec.gouv.qc.ca/dynamicSearch/telecharge.php?type=5&amp;file=2022C10A.PDF</t>
  </si>
  <si>
    <t>Loi mettant fin à la recherche d’hydrocarbures ou de réservoirs souterrains, à la production d’hydrocarbures et à l’exploitation de la saumure</t>
  </si>
  <si>
    <t>CA-QC-RLRQcR-1.01</t>
  </si>
  <si>
    <t>https://legislation.nimonikapp.com/legislations/499889/legislation_texts</t>
  </si>
  <si>
    <t>https://canlii.ca/t/g6vr</t>
  </si>
  <si>
    <t>Ce document interdit la recherche et la production d'hydrocarbures et l'exploitation de la saumure, ainsi que la recherche de réservoirs souterrains pour la recherche, le stockage ou l'exploitation d'hydrocarbures ou de saumure. Il révoque également les licences d'exploration et de production des hydrocarbures, prévoit un programme d'indemnisation pour les licences révoquées et exige que les titulaires de licences révoquées ferment définitivement les puits et restaurent les sites.</t>
  </si>
  <si>
    <t>http://www2.publicationsduquebec.gouv.qc.ca/dynamicSearch/telecharge.php?type=5&amp;file=2022C10F.PDF</t>
  </si>
  <si>
    <t>https://legislation.nimonikapp.com/legislations/503642/legislation_texts</t>
  </si>
  <si>
    <t>https://canlii.ca/t/bgh2</t>
  </si>
  <si>
    <t>This document establishes a framework to reduce the carbon intensity of transportation fuels supplied in the province and applies to fossil-derived fuels, their components, and alternatives as defined. It contains obligations for parties responsible for fuels, renewable fuel requirements, low carbon fuel requirements, record-keeping requirements for fuels' carbon intensity, obligations for public utilities, and various reporting, assessment, and record-keeping requirements. It also sets out rules concerning the issuance and transfer of compliance credits awarded for the sequestration of greenhouse gases.</t>
  </si>
  <si>
    <t>Environment Management, Air Emissions and Ambient Air Quality, Natural Resource Management, Hazardous Materials Management, Equipment, Energy Management, Fines, Penalties and Sanctions</t>
  </si>
  <si>
    <t>Tables, Cables, Bin, Presses, Bur, Wire, Ducts, Vises, Pins, Racks, Signs, Internal combustion engine, Fuse, Tank, Labels, Hose, Balance, Mats, Vehicle, Train, Bit, Bells, Financial Penalty, Files, Counters, Energy efficiency and saving, Sanction, Violation, Criminal Charge, Tags, Pens, Trolleys</t>
  </si>
  <si>
    <t>https://www.bclaws.gov.bc.ca/civix/document/id/complete/statreg/22021</t>
  </si>
  <si>
    <t>https://www.leg.bc.ca/content/data%20-%20ldp/Pages/42nd3rd/3rd_read/PDF/gov15-3.pdf</t>
  </si>
  <si>
    <t>Canada–Newfoundland and Labrador Offshore Area Petroleum Operations Framework Regulations, Canada-Nova Scotia Offshore Area Petroleum Operations Framework Regulations</t>
  </si>
  <si>
    <t>https://legislation.nimonikapp.com/legislations/507262/legislation_texts</t>
  </si>
  <si>
    <t>https://canadagazetteducanada.gc.ca/rp-pr/p1/2022/2022-06-18/html/reg5-eng.html</t>
  </si>
  <si>
    <t>The Government of Canada has announced its intention to introduce new rule frameworks governing offshore petroleum activities in the Canada-Newfoundland and Canada-Nova Scotia offshore areas. According to the government, these frameworks would align "requirements related to safety, environmental protection and resource management [...] with international codes and standards and [codify] industry best practices" and establish a technology-neutral approach that would "allow operators (with the approval of the relevant Board) to use the best available technologies and/or methodologies". The proposed regulations would notably:
- "extend the application [of rules concerning applications for authorization or approval of offshore petroleum activities] beyond just drilling and production activities, to all regulated petroleum activities", "expand on the requirements of a plan for decommissioning and abandonment and [codify] the requirement for well verification schemes",
- "establish requirements around the use of spill-treating agents (STA) in responding to spills",
- "establish a new requirement that an applicant must develop, for the [relevant Petroleum Board's] acceptance, a proposed Certification Plan that would identify the codes and standards the applicant proposes to use to meet the requirements of the regulations pertaining to the design, construction, and maintenance of installations",
- "require that equipment and materials used in conducting a geoscientific program, geotechnical program or environmental program are handled, installed, inspected, tested, maintained and operated taking into account the manufacturer's instructions and industry standards and best practices",
- "establish new limits on venting, as well requirements related to compressors, leak detection and leak repair",
- "prescribe the technical and design specifications of the vessel [for diving] and any light dive craft from which the diving activity would be deployed", and
- "establish the clear obligation of the operator to ensure that risk is reduced to as low as reasonably practicable" and to "ensure that the installation, including its systems and equipment, is fit for the purposes for which it is to be used and can be operated safely without posing a threat to persons or the environment".
The new rules would replace regulations including the Newfoundland Offshore Petroleum Installations Regulations (SOR/95-104), Newfoundland Offshore Area Petroleum Geophysical Operations Regulations (SOR/95-334), Newfoundland Offshore Petroleum Drilling and Production Regulations (SOR/2009-316), and Newfoundland Offshore Area Oil and Gas Operations Regulations (SOR/88-347) with the Canada–Newfoundland and Labrador Offshore Area Petroleum Operations Framework Regulations and would replace the Nova Scotia Offshore Area Petroleum Geophysical Operations Regulations (CA-SOR/95-144), Nova Scotia Offshore Petroleum Installations Regulations (CA-SOR/95-191), and Nova Scotia Offshore Petroleum Drilling and Production Regulations (CA-SOR/2009-317) with the Canada-Nova Scotia Offshore Area Petroleum Operations Framework Regulations.</t>
  </si>
  <si>
    <t>Mirrors, Signs, Regulator, Bur, Mats, Ducts, Pans, Mill, Safety Cans, Drill</t>
  </si>
  <si>
    <t>https://canadagazetteducanada.gc.ca/rp-pr/p1/2022/2022-06-18/pdf/g1-15625.pdf</t>
  </si>
  <si>
    <t>Règlement-cadre sur les opérations relatives aux hydrocarbures dans la zone extracôtière Canada—Terre-Neuve-et-Labrador, Règlement-cadre sur les opérations relatives aux hydrocarbures dans la zone extracôtière Canada—Nouvelle-Écosse</t>
  </si>
  <si>
    <t>CA-Vol.156,No.25(3378).fr</t>
  </si>
  <si>
    <t>https://legislation.nimonikapp.com/legislations/507263/legislation_texts</t>
  </si>
  <si>
    <t>https://canadagazetteducanada.gc.ca/rp-pr/p1/2022/2022-06-18/html/reg5-fra.html</t>
  </si>
  <si>
    <t>Le gouvernement du Canada a annoncé son intention d'introduire de nouveaux cadres de règles régissant les activités relatives aux hydrocarbures dans les zones extracôtières Canada-Terre-Neuve et Canada-Nouvelle-Écosse. Selon le gouvernement, ces cadres aligneraient les exigences « modernes en matière de sécurité, de protection de l'environnement et de gestion des ressources [...] aux normes et codes internationaux et [codifieraient] les pratiques exemplaires de l'industrie » et établiraient une approche neutre sur le plan technologique qui permettrait « aux exploitants (après approbation de l'organisme de réglementation) d'utiliser les technologies ou les méthodes les plus avancées ». Les réglementations proposées seraient notamment :
- étendre l'application des règles concernant les demandes d'autorisation ou d'approbation des activités pétrolières en mer « au-delà des simples activités de forage et de production, à toutes les activités pétrolières réglementées », développer « les exigences d'un plan de mise hors service et de fermeture et [codifier] l'exigence de scenarios de vérification des puits » ,
- établir « les exigences en matière d'utilisation d'agents de traitement des déversements (ATV) en cas de déversement" ,
- établir « une nouvelle exigence pour un demandeur d'élaborer, en vue de l'acceptation [de l'Office des hydrocarbures pertinent], un plan de certification qui présenterait les codes et les normes que le demandeur propose d'utiliser pour satisfaire aux exigences de la réglementation portant sur la conception, la construction et l'entretien des installations » ,
- exiger « que l'équipement et les matériaux utilisés pour mener un programme géoscientifique, d'études géotechniques ou d'études environnementales soient manipulés, installés, inspectés, testés, entretenus et utilisés en tenant compte des directives du fabricant et des normes et pratiques exemplaires de l'industrie » ,
- établir « de nouvelles limites en matière de rejet de gaz dans l'atmosphère, ainsi que des exigences relatives aux compresseurs, la détection des fuites, et le colmatage des fuites » ,
- prescrire « les spécifications techniques et conceptuelles du navire [de plongée] et de toute embarcation légère de plongée à partir desquels l'activité de plongée serait déployée » , et
- établir l'obligation claire de l'exploitant de s'assurer que le risque est réduit au niveau le plus bas raisonnablement réalisable et de « s'assurer que l'installation, y compris ses systèmes et son équipement, convient aux fins prévues d'utilisation et peut être exploitée en toute sécurité sans poser une menace aux personnes ou à l'environnement ».
Les nouvelles règles remplaceraient les règlements, notamment le Règlement sur les installations pour hydrocarbures de la zone extracôtière de Terre-Neuve (DORS/95-104), Règlement sur les études géophysiques liées à la recherche des hydrocarbures dans la zone extracôtière de Terre-Neuve (DORS/95-334), Règlement sur le forage et la production relatifs aux hydrocarbures dans la zone extracôtière de Terre-Neuve (DORS/2009-316), et Règlement sur les opérations relatives au pétrole et au gaz de la zone extracôtière de Terre-Neuve (DORS/88-347) avec le Règlement-cadre sur les opérations relatives aux hydrocarbures dans la zone extracôtière Canada—Terre-Neuve-et-Labrador et remplaceraient les règlements, notamment le Règlement sur les études géophysiques liées à la recherche des hydrocarbures dans la zone extracôtière de la Nouvelle-Écosse (CA-DORS/95-144), Règlement sur les installations pour hydrocarbures de la zone extracôtière de la Nouvelle-Écosse (CA-DORS/95-191), et Règlement sur le forage et la production relatifs aux hydrocarbures dans la zone extracôtière de la Nouvelle-Écosse (CA-DORS/2009-317) avec le Règlement-cadre sur les opérations relatives aux hydrocarbures dans la zone extracôtière Canada—Nouvelle-Écosse.</t>
  </si>
  <si>
    <t>https://legislation.nimonikapp.com/legislations/512185/legislation_texts</t>
  </si>
  <si>
    <t>https://canadagazetteducanada.gc.ca/rp-pr/p2/2022/2022-07-06/html/sor-dors140-eng.html</t>
  </si>
  <si>
    <t>This document requires gasoline and diesel primary suppliers to reduce the carbon intensity (CI) of the gasoline and diesel they produce in and import into Canada over several years. It establishes "a credit market whereby the annual CI reduction requirement could be met via three main categories of credit-creating actions: (1) actions that reduce the CI of the fossil fuel throughout its lifecycle, (2) supplying low-carbon fuels, and (3) supplying fuel and energy in advanced vehicle technologies".</t>
  </si>
  <si>
    <t>Environment Management, Air Emissions and Ambient Air Quality, Hazardous Materials Management, Equipment, Energy Management, Fines, Penalties and Sanctions</t>
  </si>
  <si>
    <t>Furnaces, Motors, Plugs, Level, Pile, Vehicle, Electric Motors, Tables, Telephones, Sinks, Canopy, Lights, Signs, Cables, Regulator, Bin, Presses, Bur, Ducts, Pans, Gate, Energy consumption and conservation, Pins, Pipe, Electric motor, Hose, Balance, Mats, Train, Dams, Ropes, Energy using equipment, Bit, Rechargeable battery, Financial Penalty, Energy efficiency and saving, Sanction, Violation, Criminal Charge, Cap, Tags, Pens, Energy source, Scales, Mill, Scale</t>
  </si>
  <si>
    <t>SOR/2010-189, SOR/2017-109</t>
  </si>
  <si>
    <t>https://canadagazetteducanada.gc.ca/rp-pr/p2/2022/2022-07-06/pdf/g2-15614.pdf</t>
  </si>
  <si>
    <t>CA-DORS/2022-140</t>
  </si>
  <si>
    <t>https://canadagazetteducanada.gc.ca/rp-pr/p2/2022/2022-07-06/html/sor-dors140-fra.html</t>
  </si>
  <si>
    <t>Ce document exige que les fournisseurs principaux d'essence et de diesel réduisent l'intensité en carbone (IC) de l'essence et du diesel qu'ils produisent et importent au Canada sur plusieurs années. Il établit « un marché d’unités de conformité dans le cadre duquel l’exigence annuelle de réduction de l’IC serait respectée au moyen de trois catégories principales de mesures créatrices d’unités de conformité : (1) mesures qui réduisent l’IC du combustible fossile le long de son cycle de vie, (2) fourniture de combustibles à faible IC, (3) fourniture de combustibles ou d’énergie pour les véhicules à technologie de pointe ».</t>
  </si>
  <si>
    <t>DORS/2010-189, DORS/2017-109</t>
  </si>
  <si>
    <t>Offshore Petroleum Royalty Act</t>
  </si>
  <si>
    <t>CA-NS-SNS1987,c9</t>
  </si>
  <si>
    <t>https://legislation.nimonikapp.com/legislations/518253/legislation_texts</t>
  </si>
  <si>
    <t>https://canlii.ca/t/87bg</t>
  </si>
  <si>
    <t>2 (1) In this Act,
(a) "assessment" includes reassessment,
(b) "Minister" means the Minister of Mines and Energy,
(c) "offshore area" means offshore area as defined in the Canada-Nova Scotia Offshore Petroleum Resources Accord Implementation (Nova Scotia) Act,
(d) "prescribed" means prescribed by the regulations as amended from time to time,
(e) "representative" means a representative appointed or designated pursuant to Part II of the Canada-Nova Scotia Offshore Petroleum Resources Accord Implementation (Nova Scotia) Act.
3 (1) There is hereby reserved to Her Majesty in right of the Province, and each holder of a share in a production licence is liable for and shall pay, in accordance with the regulations, such royalties as may be prescribed, at the rates prescribed, in respect of petroleum produced from the Nova Scotia lands in the offshore area and in respect of the periods prescribed.
4 Each holder of a share in a production licence liable for and required to pay a royalty pursuant to this Act who is in default in accordance with the regulations in the payment of any amount payable pursuant to this Act on account of such royalty shall pay interest and penalties on such amounts in accordance with the regulations.</t>
  </si>
  <si>
    <t>Signs, Fuse, Financial Penalty, Bin, Presses, Files, Mats, Ducts, Sanction, Violation, Criminal Charge, Ropes, Tables, Pens, Gate, Pins</t>
  </si>
  <si>
    <t>https://nslegislature.ca/sites/default/files/legc/statutes/offshore.htm</t>
  </si>
  <si>
    <t>Canada-Nova Scotia Offshore Petroleum Administrative Monetary Penalties Regulations</t>
  </si>
  <si>
    <t>CA-NS-NSReg34/2016</t>
  </si>
  <si>
    <t>https://legislation.nimonikapp.com/legislations/518356/legislation_texts</t>
  </si>
  <si>
    <t>https://canlii.ca/t/8z1f</t>
  </si>
  <si>
    <t>Definitions
2 In these regulations, “Act” means the Canada-Nova Scotia Offshore Petroleum Resources Accord Implementation (Nova Scotia) Act.
Designated provisions
3 (1) The contravention of a provision of Part III of the Act or of a regulation made under that Part that is set out in Column 1 of a Part of Schedule 1 is designated as a violation that may be proceeded with in accordance with Sections 199B to 199V of the Act.
 (2) The contravention of a direction, requirement, decision or order made under Part III of the Act is designated as a violation that may be proceeded with in accordance with Sections 199B to 199V of the Act.
 (3) The contravention of a term or condition of an operating licence or authorization that is issued, or of an approval or exemption that is granted, under Part III of the Act is designated as a violation that may be proceeded with in accordance with Sections 199B to 199V of the Act.
Classification
4 (1) The contravention of a provision that is set out in Column 1 of a Part of Schedule 1 is a Type A or Type B violation as set out in Column 2 of that Part.
 (2) The contravention of a direction, requirement, decision or order referred to in subsection 3(2) or of a term or condition referred to in subsection 3(3) is a Type B violation.</t>
  </si>
  <si>
    <t>Signs, Financial Penalty, Bin, Files, Mats, Ducts, Sanction, Violation, Criminal Charge, Pans, Level, Gate, Tables, Pens, Drill, Pins</t>
  </si>
  <si>
    <t>https://novascotia.ca/just/regulations/regs/copradmonetary.htm</t>
  </si>
  <si>
    <t>Canada-Nova Scotia Offshore Petroleum Cost Recovery Regulations</t>
  </si>
  <si>
    <t>CA-NS-NSReg36/2016</t>
  </si>
  <si>
    <t>https://legislation.nimonikapp.com/legislations/518357/legislation_texts</t>
  </si>
  <si>
    <t>https://canlii.ca/t/8z1h</t>
  </si>
  <si>
    <t>3 For each new project relating to development, production, abandonment, exploratory drilling or multi-year or complex seismic programs in respect of petroleum operations, on receipt of a project description or letter of intent, the Board must
 (a) prepare a regulatory activity plan,
 (b) calculate the estimated annual charge payable by the applicant or the operator for the project by determining the estimated full cost, including indirect regulatory costs, associated with the implementation of the regulatory activity plan prepared under clause (a) based on
 (i) the cost of the estimated total number of units of time necessary to be spent in that fiscal year on direct regulatory activities for the project, and
 (ii) any other costs, excluding costs calculated under other cost recovery methods, and
 (c) notify the applicant or the operator, in writing, of the regulatory activity plan prepared under clause (a) and the estimated annual charge payable.
6 (1) The Board must, on a quarterly basis, prepare and send an invoice for an amount equal to 25% of the estimated annual charge calculated by the Board under clause 3(b) or 4(b) to each applicant or operator who has been notified under clause 3(c) or 4(c).
 (2) Within 30 days after the date of an invoice sent under subsection (1), the applicant or the operator must pay the amount invoiced.
13 Any person, except a person requesting access for an academic purpose, the federal Minister or the Minister, who accesses a physical sample at the geodata center must pay the daily access rate for each day the sample is accessed.</t>
  </si>
  <si>
    <t>Natural Resource Management, Financial Administration, Accounting, Charges, Equipment, Energy Management, Fines, Penalties and Sanctions</t>
  </si>
  <si>
    <t>Cables, Regulator, Bur, Ducts, Pans, Pins, Signs, Studs, Hose, Aircraft, Mats, Train, Energy using equipment, Financial Penalty, Files, Tables, Pens, Drill</t>
  </si>
  <si>
    <t>https://novascotia.ca/just/regulations/regs/coprcostrecovery.htm</t>
  </si>
  <si>
    <t>CA-NS-NSReg35/2016</t>
  </si>
  <si>
    <t>https://legislation.nimonikapp.com/legislations/518358/legislation_texts</t>
  </si>
  <si>
    <t>https://canlii.ca/t/8z1g</t>
  </si>
  <si>
    <t>3 (1) For the purposes of subsection 159A(1) of the Act, the proof that an applicant has the necessary financial resources is to be made by the applicant providing the Board with a statement of its net assets or of funding arrangements that it has made that demonstrates to the Board’s satisfaction that it is able to pay the applicable amount referred to in that subsection.
(2) The statement must be accompanied by 1 or more of the following documents that substantiate it:
(a) the applicant’s most recent audited annual financial statement and, if the applicant has been given a credit rating by a credit rating agency that is current at the time the application is made, a document that indicates that credit rating,
(b) a promissory note,
(c) an insurance policy or a certificate of insurance,
(d) an escrow agreement,
(e) a letter of credit,
(f) a line of credit agreement under which funds identified in the statement are available,
(g) a guarantee agreement,
(h) a security bond or pledge agreement or an indemnity bond or suretyship agreement.</t>
  </si>
  <si>
    <t>Natural Resource Management, Financial Administration, Accounting, Charges, Equipment, Fines, Penalties and Sanctions</t>
  </si>
  <si>
    <t>Signs, Financial Penalty, Bur, Files, Mats, Sanction, Violation, Criminal Charge, Hose, Pans, Cap, Dams, Tables, Mill, Pens</t>
  </si>
  <si>
    <t>https://novascotia.ca/just/regulations/regs/coprfinrequire.htm</t>
  </si>
  <si>
    <t>Information for Calculating Crown Share Adjustment Payments Regulations</t>
  </si>
  <si>
    <t>CA-NS-NSReg230/2015</t>
  </si>
  <si>
    <t>https://legislation.nimonikapp.com/legislations/518359/legislation_texts</t>
  </si>
  <si>
    <t>https://canlii.ca/t/8v40</t>
  </si>
  <si>
    <t>2 In these regulations,
“Act” means the Canada Nova Scotia Offshore Petroleum Resources Accord Implementation (Nova Scotia) Act,
“gross revenues” in relation to a project, includes oil, natural gas and NGL production revenues as determined using prices of those resources at the project boundary, insurance proceeds, asset sale proceeds and revenues derived from the provision of a service for another project in relation to the production of oil, natural gas and NGL in the offshore area,
“Minister” means the Minister of Energy,
 “NGL” means natural gas liquids—including propane, butane, ethane and condensates—derived from the production of natural gas,
 “project boundary” means the point at which the product leaves the infrastructure as set out in the development plan for the project.
3 An operator and any interest holder of a project must provide information in accordance with Sections 4 and 5 to the Minister to permit the Minister to demonstrate and determine the crown share adjustment payments to be calculated under section 247 of the federal Implementation Act.
4 (1) Beginning on the date that the development plan is submitted under subsection 136(2) of the Act, the operator of a project must, over the life of the project, provide all of the following information to the Minister no later than June 30 of each year for the preceding year:
(a) the project operating costs,
(b) the project capital costs categorized in accordance with their tax treatment,
(c) at the request of the Minister, any other information necessary to determine the profit in relation to a project or to verify the accuracy and completeness of the information provided under this Section.</t>
  </si>
  <si>
    <t>Files, Mats, Ducts, Sanction, Violation, Criminal Charge, Hose, Pans, Cap, Tables</t>
  </si>
  <si>
    <t>https://novascotia.ca/just/regulations/regs/coprcrownshare.htm</t>
  </si>
  <si>
    <t>Offshore Petroleum Royalty Regulations</t>
  </si>
  <si>
    <t>CA-NS-NSReg71/99</t>
  </si>
  <si>
    <t>https://legislation.nimonikapp.com/legislations/518572/legislation_texts</t>
  </si>
  <si>
    <t>https://canlii.ca/t/86k5</t>
  </si>
  <si>
    <t>19 (1) Subject to an agreement in writing between the Minister and the Interest Holder, Petroleum Royalty Meters for the Field shall be selected by the Interest Holder and approved by the Minister, and placed at a location or locations selected by the Interest Holder and approved by the Minister that, unless otherwise agreed in the case of LPG Produced, shall be at or near the Royalty Valuation Point, recognizing there may be different Petroleum Royalty Meters for Condensate, Crude Oil, Gas or particular types of LPG.
24 (1) An Interest Holder for a Field shall make payments to the Board to the credit of the Receiver General of Canada on account of Royalty arising in a Period in the following manner:
 (a) subject to Section 25, by the end of each Month that follows a Royalty Paying Month in the Period, an amount equal to the aggregate Royalty owing for each Royalty Paying Month in the Period as estimated under Section 26, divided by the number of Royalty Paying Months for the Period as estimated under Section 26, and
 (b) within 3 Months after the end of the Period, the balance of the Royalty owing for each Month in the Period.
26 (1) An Interest Holder for a Field shall provide to the Minister, in respect of each Period, written good faith estimates of the amount of the aggregate Royalty payable to the Board to the credit of the Receiver General of Canada and the number of Royalty Paying Months for the Period.
30 (1) An Interest Holder for a Field shall keep or cause to be kept all of the books, records, accounts, documents and other information of the operator pertaining to costs, expenses and other amounts attributable to the Field or any Field Asset at the head office of the Interest Holder or the operator of the Field or any Field Asset in Canada, or at such other place as may be provided for in an agreement in writing between the Minister and the Interest Holder, or as the Minister may permit.</t>
  </si>
  <si>
    <t>Cables, Regulator, Bin, Presses, Bur, Ducts, Pans, Lockouts, Gate, Vises, Pins, Signs, Pipe, Tank, Helicopters, Hose, Reservoirs, Level, Balance, Lights, Mats, Switches, Train, Dams, Energy using equipment, Bit, Handles, Financial Penalty, Files, Sanction, Violation, Criminal Charge, Tanker, Cap, Tables, Tags, Pens, Drill</t>
  </si>
  <si>
    <t>https://novascotia.ca/just/regulations/regs/oprregs.htm</t>
  </si>
  <si>
    <t>Mining Companies Easements Act</t>
  </si>
  <si>
    <t>CA-NS-RSNS1989,c288</t>
  </si>
  <si>
    <t>https://legislation.nimonikapp.com/legislations/520714/legislation_texts</t>
  </si>
  <si>
    <t>https://canlii.ca/t/87c9</t>
  </si>
  <si>
    <t>2 When lands, lakes, streams or lands covered with water or easements or rights therein are required for any of the purposes set out in Section 70 of the Mineral Resources Act, or for the purpose of laying and maintaining pipe-lines, tubes or conduits by any company incorporated for the purpose of mining or drilling for oil or gas, and which company is the owner or lessee of mineral or oil rights other than as lessee from the Crown under the Mineral Resources Act, such lands, lakes, streams or lands covered with water or easements or rights therein may be acquired by said company to the same extent and in the same manner as if said company were a lessee from the Crown under the Mineral Resources Act and for said purposes such company shall be considered to be a lessee within the meaning of said Section 70 of the Mineral Resources Act.
3 Any such company may construct roads, subways, pipe-lines or conduits over, along, under and across any brooks, rivers and streams, not being navigable water, and any highway, subject nevertheless to regulations to be made by the Governor in Council.</t>
  </si>
  <si>
    <t>Conduits, Pipe, Tubes, Mats, Pans, Drill, Vises</t>
  </si>
  <si>
    <t>https://nslegislature.ca/sites/default/files/legc/statutes/miningco.htm</t>
  </si>
  <si>
    <t>Petroleum Resources Removal Permit Act</t>
  </si>
  <si>
    <t>CA-NS-SNS1999,c7</t>
  </si>
  <si>
    <t>https://legislation.nimonikapp.com/legislations/520723/legislation_texts</t>
  </si>
  <si>
    <t>https://canlii.ca/t/87jk</t>
  </si>
  <si>
    <t>2 The purpose of this Act is to ensure the efficient and sustainable use of petroleum resources in the Province by requiring a permit to remove petroleum resources from the Province and thereby ensuring available feedstock to support a petrochemical industry in the Province.
3 (1) In this Act,
(a) "Board" means the Nova Scotia Utility and Review Board,
(b) "butane" means, in addition to its normal scientific meaning, a mixture mainly of butane, that may ordinarily contain trace amounts of propane or condensate,
(c) "coal gas" means the methane occurring naturally in coal seams and associated strata,
(d) "condensate" means a mixture mainly of pentanes and heavier hydrocarbons, that may be contaminated with sulphur compounds, that is recovered or is recoverable at a well from an underground reservoir and that is gaseous in its virgin reservoir state but is liquid at the conditions under which its volume is measured or estimated,
(e) "ethane" means, in addition to its normal scientific meaning, a mixture mainly of ethane, that may ordinarily contain trace amounts of methane or propane,
(f) "gas" means raw gas, including coal gas or any constituent of raw gas or marketable gas, including, but not limited to, condensate, propane, butane and ethane,
(g) "marketable gas" means a mixture mainly of methane originating from raw gas, if necessary through the processing of the raw gas for the removal or partial removal of some constituents, that meets specifications for use as a domestic, commercial or industrial fuel or as an industrial raw material,
(h) "methane" means, in addition to its normal scientific meaning, a mixture mainly of methane, that may ordinarily contain trace amounts of ethane, nitrogen, helium or carbon dioxide,
(i) "Minister" means the Minister responsible for the Petroleum Directorate,
(j) "Nova Scotia lands" means Nova Scotia lands as defined in the Canada-Nova Scotia Offshore Petroleum Resources Accord Implementation (Nova Scotia) Act,
(k) "oil" means crude oil before and after it has been subjected to any refining or processing,
(l) "permit" means a petroleum resources removal permit issued pursuant to this Act,
(m) "petroleum resources" means oil and gas,
(n) "propane" means, in addition to its normal scientific meaning, a mixture mainly of propane, that may ordinarily contain trace amounts of ethane or butanes,
(o) "Province" includes Nova Scotia lands,
(p) "raw gas" means a mixture containing methane, other paraffinic hydrocarbons, nitrogen, carbon dioxide, hydrogen sulfide, helium and minor impurities, or some of them, that is recovered or is recoverable at a well from an underground reservoir and that is gaseous at the conditions under which its volume is measured or estimated.
4 This Act applies to petroleum resources produced in the Province.
6 (1) Subject to subsections (2) and (3), no person shall remove from the Province petroleum resources produced within the Province, except in accordance with a petroleum resources removal permit issued pursuant to this Act.
(2) A permit is not required to remove from the Province
(a) coal gas,
(b) methane,
(c) oil, or
(d) condensates,
unless a regulation is passed requiring a permit for the removal of one or more of the substances referred to in clauses (a) to (d).
(3) A permit is not required to remove small volumes of petroleum resources from the Province up to limits prescribed by the regulations.
11 (1) No person shall transfer or assign a permit without the written approval of the Minister.
(2) A permit holder or proposed assignee of a permit may apply to the Minister for an amendment of the permit to show the proposed assignee as the permit holder.</t>
  </si>
  <si>
    <t>Signs, Fuse, Financial Penalty, Presses, Mats, Ducts, Sanction, Violation, Criminal Charge, Hose, Pans, Ropes, Reservoirs, Tables, Pens, Pins</t>
  </si>
  <si>
    <t>https://nslegislature.ca/sites/default/files/legc/statutes/petrolrp.htm</t>
  </si>
  <si>
    <t>Gas Storage Exploration Regulations</t>
  </si>
  <si>
    <t>CA-NS-NSReg250/89</t>
  </si>
  <si>
    <t>https://legislation.nimonikapp.com/legislations/520759/legislation_texts</t>
  </si>
  <si>
    <t>https://canlii.ca/t/86ks</t>
  </si>
  <si>
    <t>In these regulations
(a) "Act" means the Gas Storage Exploration Act,
(b) "allowable expenditure" means an expenditure allowed by the Minister in satisfaction of work requirements under Sections 5, 9 or 10 of the Act:
(c) "holder" means a permit holder, licensee or lessee,
(d) "permit area" means a gas storage exploration area with respect to which a permit has been granted under Section 3 of the Act,
(e) "permit holder" means a person who holds a permit granted under Section 4 of the Act to search and explore a gas storage exploration area,
(f) "lessee" means the holder of a gas storage area lease granted under Section 10 of the Act,
(g) "licensee" means the holder of a gas storage area license granted under Section 9 of the Act,
(h) "Registrar" means a person designated by the Minister to be the Registrar.
2 (1) The following application or renewal fees shall be paid to the Registrar by an applicant at the time of making the applicable application:
(a) gas storage exploration permit application fee - $1.00 per acre,
(b) gas storage exploration permit renewal fee - $1.00 per acre,
(c) gas storage area license application fee - $1.00 per acre,
(d) gas storage area license renewal fee - $1.00 per acre, and
(e) gas storage area lease application fee - $2.00 per acre.
(2) A lessee shall pay to the Registrar annual rental at the rate of $2.00 per acre in respect of a gas storage area lease.</t>
  </si>
  <si>
    <t>Cables, Bin, Presses, Ducts, Pans, Scale, Pins, Signs, Studs, Hose, Reservoirs, Mats, Dams, Ropes, Scales, Financial Penalty, Files, Sanction, Violation, Criminal Charge, Pens, Drill</t>
  </si>
  <si>
    <t>Natural Gas Transmission Pipeline Assessment Regulations</t>
  </si>
  <si>
    <t>CA-NS-NSReg103/2002</t>
  </si>
  <si>
    <t>https://legislation.nimonikapp.com/legislations/520773/legislation_texts</t>
  </si>
  <si>
    <t>https://canlii.ca/t/86hv</t>
  </si>
  <si>
    <t>2 In these regulations,
(a) “Act” means the Assessment Act,
(b) “actual cost” means the actual cost of a pipeline or part thereof accepted by the NEB as the cost of the pipeline,
(c) “NEB” means National Energy Board (Canada),
(d) “pipeline means a natural g]as transmission pipeline under the jurisdiction of the NEB and includes the natural gas liquids pipeline between Goldboro, Guysborough County, and Richmond County, and
(e) “total accumulated depreciation” means an amount calculated pursuant to subsection 6(4) and allowed as a deduction in the determination of the assessed value of a pipeline in accordance with these regulations.
3 (1) The assessed value of a pipeline, including the value of any associated easements or other rights in real property, constructed and installed prior to January 1, 2000, is
(a) the base cost per metre for each class of pipe in the pipeline as set out in Schedule A, multiplied by the length of the pipe,
less
(b) total accumulated depreciation,
provided that the assessed value shall never be less than one half of the value determined pursuant to clause (a).
4 If the size of a pipe does not match a class of pipe set out in Schedule A, the base cost per metre for purposes of Section 3 for that pipe shall be obtained by interpolation or extrapolation, if possible, and if interpolation or extrapolation is not possible, the base cost is the actual cost of constructing and installing the pipeline, exclusive of Harmonized Sales Tax.
6 (1) The depreciation of a pipeline shall be calculated annually as of December 1.
8 (1) A business occupancy assessment as required by Section 11 of the Act with respect to a pipeline is additional to the pipeline assessment required by Section 32A of the Act and these regulations, and the business occupancy assessment shall be calculated by reference to the pipeline assessment.
(2) For greater certainty, business occupancy assessment does not apply to compression stations and custody transfer stations.</t>
  </si>
  <si>
    <t>Financial Penalty, Cables, Pipe, Presses, Files, Mats, Ducts, Pans, Ropes, Tags, Energy using equipment</t>
  </si>
  <si>
    <t>CA-NS-RSNS1989,c23</t>
  </si>
  <si>
    <t>https://novascotia.ca/just/regulations/regs/aanatgas.htm</t>
  </si>
  <si>
    <t>Withdrawal of Energy Resources from the Act Regulations</t>
  </si>
  <si>
    <t>CA-NS-NSReg280/2007</t>
  </si>
  <si>
    <t>https://legislation.nimonikapp.com/legislations/520797/legislation_texts</t>
  </si>
  <si>
    <t>https://canlii.ca/t/86jx</t>
  </si>
  <si>
    <t>2 In these regulations,
(a) “Act” means the Energy Resources Conservation Act,
(b) “offshore area” means the lands and submarine areas within the limits described in Schedule I to the Canada-Nova Scotia Offshore Petroleum Resources Accord Implementation (Nova Scotia) Act.
3 The following energy resources found in the offshore area are withdrawn from the application of the Act:
(a) natural gas and all substances, other than oil, that are produced in association with natural gas,
(b) crude petroleum, regardless of gravity, produced at a wellhead in liquid form,
(c) any other hydrocarbons, except coal and coal gas associated with the development or operation of a coal mine, including hydrocarbons that may be extracted or recovered from surface or subsurface deposits, such as deposits of oil sand, bitumen, bituminous sand, oil shale and other types of deposits.</t>
  </si>
  <si>
    <t>Natural Resource Management, Environment Management, Equipment</t>
  </si>
  <si>
    <t>Files, Mats, Pans, Bit</t>
  </si>
  <si>
    <t>https://novascotia.ca/just/regulations/regs/ERCwithdrawal.htm</t>
  </si>
  <si>
    <t>Petroleum Resources Removal Permit Exemption Regulations</t>
  </si>
  <si>
    <t>CA-NS-NSReg28/2000</t>
  </si>
  <si>
    <t>https://legislation.nimonikapp.com/legislations/520806/legislation_texts</t>
  </si>
  <si>
    <t>https://canlii.ca/t/876p</t>
  </si>
  <si>
    <t>2 In these regulations,
(a) “Act” means the Petroleum Resources Removal Permit Act,
(b) “Agreement” means a Petrochemical Supply Agreement, signed by the Province and a petroleum producer, that covers subject matter similar to that contained in the Nova Scotia Petrochemical Supply Agreement referred to in Section 4, as amended from time to time.
3 An exemption made under these regulations applies as long as the Agreement signed by the persons to whom the exemption applies remains in effect.
4 (1) For the purposes of these regulations,
(a) “Sable Offshore Energy Producers” means Mobil Oil Canada Properties, Shell Canada Limited, Imperial Oil Resources Limited, Nova Scotia Resources (Ventures) Limited and Mosbacher Operating Ltd., their affiliates, successors and permitted assigns,
(b) “SOEP Fields” means those portions of the offshore area within, upon or under SDLs 2254 (Venture), 2255A and 2255B (South Venture), 2255F, 2255G and 2283C (Thebaud), 2269, 2276B and 2276C (North Triumph), 2277A and 2277B (Alma) and 2299A (Glenelg),
(c) “SOEP Products” means the liquid and gaseous products obtained from the processing of the hydrocarbons produced from the SOEP Fields.
(2) Pursuant to clause 22(1)(aa) of the Act, the Sable Offshore Energy Producers are hereby exempt from the removal permit requirements in the Act, effective on, from and after March 1, 2000, by virtue of their having entered into the Nova Scotia Petrochemical Supply Agreement that was approved by the Governor in Council by Order in Council 1999-339 dated June 17, 1999, was signed by the parties on June 22, 1999, and became effective on July 27, 1999.
(3) The exemption made in subsection (2) includes any agents, brokers, marketers, shippers, transporters and customers of SOEP Products from the SOEP Fields.</t>
  </si>
  <si>
    <t>Signs, Files, Mats, Ducts, Hose, Pans, Ropes</t>
  </si>
  <si>
    <t>https://novascotia.ca/just/regulations/regs/prrpexmt.htm</t>
  </si>
  <si>
    <t>Land Acquisition Regulations</t>
  </si>
  <si>
    <t>CA-NS-NSReg67/98</t>
  </si>
  <si>
    <t>https://canlii.ca/t/86r4</t>
  </si>
  <si>
    <t>2 In these regulations,
(a) “Act” means the Pipeline Act,
(b) “land” includes any estate, term, easement, right or interest in, to, over or affecting land,
(c) “Minister” means the Minister designated by the Governor in Council to be Minister responsible for the Pipeline Act,
(d) “owner” includes a mortgagee, tenant, registered judgment creditor, a person entitled to a limited estate or interest in land, a guardian or trustee of an incompetent person or of a person incapable of managing his affairs, a guardian, executor, administrator or trustee in whom land is vested,
(e) “pipeline” means a pipeline for which a permit or licence has been issued.
4 (1) A permit or licence holder requiring land for the purpose of a pipeline shall serve a notice on all owners of land so far as they can be ascertained, accompanied by
(a) a description of the lands that are required by the permit or licence holder for the pipeline,
(b) details of the compensation, if any, offered by the permit or licence holder for the lands required,
(c) a detailed statement made by the permit or licence holder of the value of the lands required in respect of which compensation is offered,
(d) a description of the procedure for approval of the detailed route of the pipeline, and
(e) a description of the procedure available in the event that the owner of the lands and the permit or licence holder are unable to agree on any matter respecting the compensation available.
5 If a permit or licence holder reaches an agreement with an owner for land for the purposes of a pipeline, that agreement shall include
(a) compensation for the market value of the lands acquired to be paid, at the option of the owner, by one lump sum payment or by annual or periodic payments of equal or different amounts over a period of time,
(b) compensation for all disturbance and injurious affliction suffered as a result of the operations of the permit or licence holder to be paid, at the option of the owner, by one lump sum payment or by annual or periodic payments of equal or different amounts over a period of time,
(c) indemnification of the owner from all liabilities, damages, claims, suits and actions arising from the operations of the permit or licence holder, other than liabilities, damages, claims, suits and actions arising from gross negligence or wilful misconduct of the owner of the lands,
(d) restricting the use of the lands to the line of the pipe or other facility for which the lands are, by the agreement, specified to be required, unless the owner of the lands consents to any proposed additional use at the time of the proposed additional use.</t>
  </si>
  <si>
    <t>Land Use</t>
  </si>
  <si>
    <t>https://novascotia.ca/just/regulations/regs/pipland.htm</t>
  </si>
  <si>
    <t>Petroleum Products Pricing Information Regulations</t>
  </si>
  <si>
    <t>CA-NS-NSReg144/2005</t>
  </si>
  <si>
    <t>https://legislation.nimonikapp.com/legislations/520916/legislation_texts</t>
  </si>
  <si>
    <t>https://canlii.ca/t/8644</t>
  </si>
  <si>
    <t>2 In these regulations,
(a) "cross-lease arrangement" means an arrangement in which a wholesaler compensates a retailer for the use of the retailer’s facilities to re-sell the wholesaler’s petroleum products,
(b) "exchange agreement" means an agreement that allows a refiner or wholesaler to exchange petroleum products with another refiner or wholesaler at an agreed rate of exchange,
(c) "refiner" means the manufacturer or processor of petroleum products from crude oil.
3 (1) After receiving a request from the Minister, a wholesaler must provide the Minister with all of the following petroleum product price information within the time frame specified by the Minister in the request:
(a) the purchase price, in cents per litre, that the wholesaler paid to the refinery or other wholesaler for petroleum products intended for re-sale, and the volume purchased,
(b) if the wholesaler has an exchange agreement with a refiner or another wholesaler,
(i) the price,
(ii) the terms of the exchange agreement relating to petroleum products sold in the Province, and
(iii) the volume of petroleum products to be purchased or exchanged under the exchange agreement,
(c) if transportation costs are not included in a wholesale price, a schedule of the transportation costs charged by the wholesaler to each retailer,
(d) the wholesale price, in cents per litre, that is charged by the wholesaler to each retailer, wholesaler or reseller who purchased petroleum products intended for re-sale,
(e) the self-serve and full-serve retail price charged for each grade of gasoline by each of the wholesaler’s controlled retailers, and the volumes sold,
(f) any additional information required by the Minister.
4 (1) After receiving a request from the Minister, a retailer must provide the Minister with all of the following petroleum product price information within the time frame specified by the Minister in the request:
(a) the wholesale price, in cents per litre, that the retailer paid to the wholesaler for the petroleum products, and the volume purchased,
(b) the self-serve and full-serve retail price charged by the retailer for each grade of gasoline, and the volume sold,
(c) if transportation costs are not included in the wholesale price, the transportation costs charged to a retailer.</t>
  </si>
  <si>
    <t>Financial Administration, Accounting, Charges, Communications and Utilities, Equipment, Fines, Penalties and Sanctions</t>
  </si>
  <si>
    <t>Telephones, Signs, Financial Penalty, Files, Mats, Ducts, Pans, Pens</t>
  </si>
  <si>
    <t>https://novascotia.ca/just/regulations/regs/pppinfo.htm</t>
  </si>
  <si>
    <t>Pipeline Benefits Plan Regulations</t>
  </si>
  <si>
    <t>CA-NS-NSReg151/97</t>
  </si>
  <si>
    <t>https://legislation.nimonikapp.com/legislations/520917/legislation_texts</t>
  </si>
  <si>
    <t>https://canlii.ca/t/8739</t>
  </si>
  <si>
    <t>2 (1) In these regulations,
(a) “Act” means the Pipeline Act,
(b) “applicant” means a person who applies for a permit pursuant to the Act or any regulations made thereunder,
(c) “benefits plan” means a plan for the employment of, the supply of goods and services by, and the education and training of Nova Scotians by a permit holder or a licence holder and their contractors during the planning, design, construction, operation and abandonment of a pipeline,
(d) “contractor” means anyone who performs work authorized by or on behalf of a permit holder or licence holder, or provides or requires goods or services pursuant to work or operations authorized by a permit holder or licence holder,
(e) “licence holder” means the person or persons who hold a licence issued by the Energy Board,
(f) “Minister” means the President of the Executive Council,
(g) “permit holder” means the person or persons who hold a permit issued by the Energy Board,
(h) “pipeline proponent” means a person who has submitted a benefits plan for approval pursuant to these regulations.
4 A benefits plan shall be submitted to the Energy Board in a form and containing such information as the Board may require.
11 If a benefits plan respecting a pipeline has been approved by the Energy Board, it shall be a condition of the permit respecting the pipeline that the permit holder shall take all reasonable measures necessary to ensure that the provisions of the approved benefits plan and any terms and conditions of approval specified by the Board are carried out.
12 (1) Every permit holder who has had a benefits plan approved shall submit a written report to the Energy Board at least every six months during the planning and construction of the pipeline that sets out how and to what extent it has carried out the provisions of the benefits plan, any pertinent factors affecting the implementation of the plan, and measures taken or to be taken to ensure commitments are being or will be fulfilled.</t>
  </si>
  <si>
    <t>Safety Management, Energy Management, Equipment</t>
  </si>
  <si>
    <t>Signs, Pipe, Files, Mats, Ducts, Hose, Pans, Level, Train, Tables, Energy using equipment, Pens, Gate, Pins</t>
  </si>
  <si>
    <t>https://novascotia.ca/just/regulations/regs/plbregs.html</t>
  </si>
  <si>
    <t>Withdrawal of Petroleum Products from the Act Regulations</t>
  </si>
  <si>
    <t>CA-NS-NSReg279/2007</t>
  </si>
  <si>
    <t>https://legislation.nimonikapp.com/legislations/520970/legislation_texts</t>
  </si>
  <si>
    <t>https://canlii.ca/t/86km</t>
  </si>
  <si>
    <t>2 In these regulations,
(a) “Act” means the Petroleum Resources Act,
(b) “offshore area” means the lands and submarine areas within the limits described in Schedule I to the Canada-Nova Scotia Offshore Petroleum Resources Accord Implementation (Nova Scotia) Act.
3 The following petroleum products that are found in the offshore area are withdrawn from the application of the Act:
(a) natural gas and all substances, other than oil, that are produced in association with natural gas,
(b) crude petroleum, regardless of gravity, produced at a wellhead in liquid form,
(c) any hydrocarbons, except coal and coal gas associated with the development or operation of a coal mine, including hydrocarbons that may be extracted or recovered from surface or subsurface deposits, such as deposits of oil sand, bitumen, bituminous sand, oil shale and other types of deposits.</t>
  </si>
  <si>
    <t>Files, Mats, Ducts, Pans, Bit</t>
  </si>
  <si>
    <t>https://novascotia.ca/just/regulations/regs/PRAwithdrawal.htm</t>
  </si>
  <si>
    <t>Deep Panuke Project Regulations</t>
  </si>
  <si>
    <t>CA-NS-NSReg202/2006</t>
  </si>
  <si>
    <t>https://legislation.nimonikapp.com/legislations/520976/legislation_texts</t>
  </si>
  <si>
    <t>https://canlii.ca/t/86jj</t>
  </si>
  <si>
    <t>The Governor in Council on the report and recommendation of the Minister of Energy dated October 13, 2006, pursuant to Sections 4, 5, 6 and 40 of Chapter 345 of the Revised Statutes of Nova Scotia, 1989, the Pipeline Act, and Section 12 of Chapter 147 of the Revised Statutes of Nova Scotia, 1989, the Energy Resources Conservation Act, is pleased, effective October 27, 2006, to
(a) withdraw from the application of the Pipeline Act or the regulations such Nova Scotia lands located in Nova Scotia and the Nova Scotia offshore area which may be required for any sales gas subsea pipeline from the Deep Panuke Project offshore production facility to connect to an onshore pipeline or other onshore facility or tie-in connection to the Sable Offshore Energy Project subsea pipeline, which subsea pipeline is regulated by the National Energy Board and the Canada-Nova Scotia Offshore Petroleum Board, subject to the purposes and conditions set out in the Order,
(b) order that effective October 27, 2006, and for so long thereafter as any subsea pipeline required for the Deep Panuke Project remains in place, the National Energy Board Act (Canada) and any regulations made thereunder are applicable to the Nova Scotia lands withdrawn under clause (a) and such enactment shall have the same force and effect as if enacted by the Legislature,
(c) order that effective October 27, 2006, and for so long thereafter as any subsea pipeline required for the Deep Panuke Project remains in place, the National Energy Board established by the National Energy Board Act (Canada) be granted jurisdiction over the regulation of any subsea pipeline on Nova Scotia lands withdrawn under clause (a), the said National Energy Board to have the same force and effect as if established by the Legislature,
(d) approve the terms and conditions of an agreement with the Government of Canada and other parties in the form set forth in Schedule “A” attached to and forming part of the Report and Recommendation, respecting the administration of Nova Scotia lands withdrawn under clause (a),
(e) order that the agreement under clause (d) shall have the same force and effect as if enacted by the Legislature and any board, agency or person referred to in the agreement shall be empowered to do all things necessary to effect the agreement, and
(f) authorize the Minister of Energy to sign the agreement referred to in clause (d) or one to like effect.</t>
  </si>
  <si>
    <t>Signs, Cables, Pipe, Files, Mats, Ducts, Pans, Energy using equipment, Vises</t>
  </si>
  <si>
    <t>https://novascotia.ca/just/regulations/regs/pippanuk.htm</t>
  </si>
  <si>
    <t>Sable Offshore Energy Project Regulations</t>
  </si>
  <si>
    <t>CA-NS-NSReg32/2005</t>
  </si>
  <si>
    <t>https://legislation.nimonikapp.com/legislations/520982/legislation_texts</t>
  </si>
  <si>
    <t>https://novascotia.ca/just/regulations/regs/pipsable.htm</t>
  </si>
  <si>
    <t>The Governor in Council on the report and recommendation of the President of the Executive Council dated November 27, 1997, pursuant to Section 4 and clause 6(b) of Chapter 345 of the Revised Statutes of Nova Scotia, 1989, the Pipeline Act, and subsection 12(1) of Chapter 147 of the Revised Statutes of Nova Scotia, 1989, the Energy and Mineral Resources Conservation Act, is pleased to
(a) exempt all pipelines required for the Sable Offshore Energy Project that are located in the Nova Scotia offshore area and any pipelines that carry natural gas or associated petroleum substances from the Nova Scotia offshore area to the natural gas processing plant to be constructed at or near Country Harbour, Guysborough County, from the provisions of the Pipeline Act, saving and excepting Sections 1 to 9 inclusive, 11 to 13 inclusive, 19 and 20, 22, and 40 to 44 inclusive,
(b) order that effective October 1, 1997, and for so long thereafter as such Sable Offshore Energy Project pipelines remain in place, the National Energy Board Act (Canada) and any regulations made thereunder not inconsistent with regulations made under the Pipeline Act, saving and excepting those provisions of the Act and regulations respecting Certificates of Public Convenience and Necessity, leave to open or abandon pipelines and the approval of traffic, tolls and tariffs, is applicable to such pipelines and that Act shall have the same force and effect as if enacted by the Legislature,</t>
  </si>
  <si>
    <t>Natural Resource Management, Environment Management, Energy Management, Equipment</t>
  </si>
  <si>
    <t>Signs, Pipe, Cables, Files, Mats, Hose, Pans, Energy using equipment, Pens, Gate, Vises</t>
  </si>
  <si>
    <t>https://novascotia.ca/just/regulations/regs/petrol_prices.pdf</t>
  </si>
  <si>
    <t>[To consult the tables and Schedule "A", please visit: https://novascotia.ca/just/regulations/regs/petrol_prices.pdf].</t>
  </si>
  <si>
    <t>Financial Administration, Accounting, Charges</t>
  </si>
  <si>
    <t>https://novascotia.ca/just/regulations/rxam-z.htm</t>
  </si>
  <si>
    <t>Mineral Holdings Impost Act</t>
  </si>
  <si>
    <t>CA-NL-RSNL1990,cM-14</t>
  </si>
  <si>
    <t>https://canlii.ca/t/8b0k</t>
  </si>
  <si>
    <t>2. In this Act
(a) "assessor" means the assessor appointed under this Act,
(c) "exempt mineral interest" means an estate, title, interest or right in or to a mineral
(i) held solely under an existing lease, licence, permit or other right issued or obtained under the Mineral Act, or the Quarry Materials Act or to an Act repealed by either of those Acts, or
(ii) held solely under the Petroleum and Natural Gas Act,
(d) "financial year" means the 12-month period ending on December 31 in each year or other 12-month period that the minister may determine for a taxpayer,
(e) "mineral" means a naturally occurring inorganic substance and includes petroleum as defined in the Petroleum and Natural Gas Act, coal and bituminous shale,
(f) "mineral area" means a mineral area as determined under section 3,
(g) "mineral holding" means all the estates, titles, interests or rights of whatever kind in or to minerals generally or to specific minerals in a mineral area of 1 hectare or more, held directly or indirectly from the Crown, whether
(i) as an incident of a fee simple or leasehold estate in land or minerals,
(ii) as an interest in or to the minerals situated in that area, or
(iii) as a right to obtain the minerals in that area
exclusive of an exempt mineral interest within the mineral area and of the area of a mine within the mineral area not exceeding 2,000 hectares in respect of which mining operations, as defined in Part VII of the Revenue Administration Act, are being carried out,
(h) "minister" means the minister appointed under the Executive Council Act to administer this Act,
(i) "person" includes an unincorporated association of persons, however designated,
(j) "tax" means the impost levied under this Act in a year under section 7 and includes interest, costs and penalties that are added to that impost under this Act, and
(k) "taxpayer" means, in relation to a mineral holding, a person who is liable to pay a tax under this Act in a year in respect of the mineral holding.
3. In this Act "mineral area" means each area of land or water, or both, separately described in a document of title that was made by the government of the province since 1834 and before June 6, 1978 and that conveyed, as part of the land or separately, an estate, interest, licence, permit, authority, concession or other right to minerals or to search for and win minerals or to acquire a right to do so, and if there are other documents of title evidencing an interest in or to minerals made by that government or by a person relating to all or a part of the same area, the largest single area separately described in a document of title made by the government of the province shall be taken to be the mineral area.
7. (1) There is levied on all mineral holdings in the province an impost at the rate of
(a) $0.35 cents a hectare in 1978,
(b) $0.55 cents a hectare in 1979,
(c) $1.15 a hectare in 1980,
(d) $1.95 a hectare in 1981,
(e) $3 a hectare in 1982, 1983, 1984, 1985, 1986, 1987, 1988 and 1989,
(f) $6 a hectare in 1990,
(g) $7 a hectare in 1991,
(h) $8 a hectare in 1992,
(i) $9 a hectare in 1993,
(j) $10 a hectare in 1994,
(k) $11 a hectare in 1995,
(l) $12 a hectare in 1996, and
(m) $12.50 a hectare in each year following 1996.
(2) A person, not being a person referred to in section 36, who in a year
(a) has an interest in a mineral holding, or
(b) has a right to take minerals within a mineral holding,
is liable for the impost levied under this Act in that year upon that mineral holding or a part of that mineral holding, in respect of which he or she has not chosen to surrender his or her interest or right to the Crown and has not surrendered that interest or right, before December 31 in that year.
(3) A person who is liable to pay the impost levied under this Act in a year upon a mineral holding shall, unless the impost for the year has been paid by another under subsection (4), pay to the Crown in the prescribed manner and at the prescribed times the amount of the impost levied upon that mineral holding less amounts by which the impost may be reduced under this Act in respect of that year.
9. (1) An owner of a mineral holding may apply to the minister to have a part or all of the mineral holding converted to a ground staked licence or a map staked licence in accordance with section 9 of theMineral Act .
12. A taxpayer shall, at the time of delivering the return required by section 11, estimate and pay to the minister the amount of tax estimated by him or her to be payable for the year in respect of the mineral holding for which the return is made.</t>
  </si>
  <si>
    <t>Natural Resource Management, Financial Administration, Accounting, Charges</t>
  </si>
  <si>
    <t>https://www.assembly.nl.ca/Legislation/sr/statutes/m14.htm</t>
  </si>
  <si>
    <t>CA-NL-SNL2001,cP-10.1</t>
  </si>
  <si>
    <t>https://canlii.ca/t/89v8</t>
  </si>
  <si>
    <t>2. (1) In this Act
(a) "board" means the Board of Commissioners of Public Utilities established under the Public Utilities Act ,
(b) "consumer" means a person who acquires a petroleum product for that person's use and not for the purpose of selling, exchanging or otherwise disposing of it to another person, but does not include a person who acquires a petroleum product under a contract between the person and a retailer or wholesaler at a price that the person and the retailer or wholesaler have previously agreed on,
(c) "heating fuel" means furnace oil, stove oil or propane of a type used primarily for generating heat and includes a liquid product distilled from petroleum used as a component of it,
(d) "minister" means the minister appointed under the Executive Council Act to administer this Act,
(e) "motor fuel" means gasoline, diesel fuel or propane of a type used primarily in internal combustion engines and includes a liquid product distilled from petroleum used as a component of it,
(f) "outlet" means a station, shop, establishment, key lock facility, or other place where a petroleum product is sold at retail or kept for retail sale,
(g) "petroleum product" means heating fuel and motor fuel and another liquid product, whether or not distilled from petroleum, used as a heating fuel or motor fuel or as a component in it,
(h) "price" means the consideration, whether wholly or partly in money or otherwise, payable for a petroleum product and includes any component of the consideration,
(i) "retailer" means a person who sells a petroleum product or keeps a petroleum product for sale directly to consumers, and
(j) "wholesaler" means a person, other than a retailer, who sells a petroleum product or keeps a petroleum product for sale.
(2) This Act does not apply to a wholesaler in relation to the sale by the wholesaler of a petroleum product to a person other than a retailer or the keeping of a petroleum product by the wholesaler for sale to a person other than a retailer.
(3) The following petroleum products are exempt from the provisions of this Act:
(a) motor fuel used for aviation purposes, and
(b) motor fuel used for marine purposes except where the motor fuel is purchased from a retailer who sells that type of motor fuel for other purposes.
5. (1) A wholesaler shall not charge a price for heating fuel or motor fuel greater than the maximum price set by the board.
(2) A retailer shall not charge a price for heating fuel or motor fuel greater than the maximum price set by the board.
(3) Where the board determines the minimum and maximum mark up between the wholesale price to the retailer and the retail price to the consumer of heating fuel and motor fuel, a wholesaler or retailer shall not set a mark up different from that determined by the board.</t>
  </si>
  <si>
    <t>https://www.assembly.nl.ca/Legislation/sr/statutes/p10-1.htm</t>
  </si>
  <si>
    <t>Mineral Holdings Impost Regulations</t>
  </si>
  <si>
    <t>CA-NL-CNLR1124/96</t>
  </si>
  <si>
    <t>https://canlii.ca/t/8cx7</t>
  </si>
  <si>
    <t>3. All classes of mineral holdings listed or referred to in the Schedule to these regulations are exempt from the application of the Act.
5. A separate report shall be submitted for each mineral holding in respect of which deductions are claimed under section 8 of the Act.
6. A report shall be
(a) bound in a folder,
(b) the typewritten original or a photocopy of same,
(c) on letter size paper,
(d) sequentially numbered on every page,
(e) accompanied by
(i) a table of contents listing the main sections of the report,
(ii) a table of illustrations listing the plans, sections, diagrams, photographs, logs, and similar, bound into or otherwise accompanying the report, and
(iii) notwithstanding paragraph (c), the pre-printed record forms not of letter size that are necessary.
19. For the purposes of section 18, expenditures incurred for purposes of exploration or development shall include expenditures incurred in
(a) prospecting,
(b) trenching, pitting and stripping,
(c) line cutting and flagging,
(d) surface and underground geological surveys,
(e) airborne, surface and underground geochemical surveys,
(f) airborne, surface, underground and borehole geophysical surveys,
(g) photogeological and remote imagery interpretations,
(h) drilling,
(i) land surveys,
(j) topographic surveys,
(k) shaft sinking and other underground development work,
(l) engineering evaluation reports,
(m) beneficiation studies, analyses, assays and microscopic studies,
(n) preparing a mine for production, and
(o) other activities that may be approved by the minister.</t>
  </si>
  <si>
    <t>https://www.assembly.nl.ca/Legislation/sr/Regulations/rc961124.htm</t>
  </si>
  <si>
    <t>https://legislation.nimonikapp.com/legislations/522103/legislation_texts</t>
  </si>
  <si>
    <t>https://canlii.ca/t/8clw</t>
  </si>
  <si>
    <t>2. In these regulations
(a) "Act" means the Petroleum Products Act ,
(a.01) "alternative benchmark" means, with respect to a type, grade or component of heating fuel or motor fuel, a reported product price assessment other than the reported product price assessments set out in the Schedule,
(a.1) "benchmark" means, with respect to a type, grade or component of heating fuel or motor fuel,
(i) the reported product price assessment by Platts and by Bloombergs or OPIS in the case of propane, and as set out in the Schedule, and
(ii) notwithstanding subparagraph (i), with respect to mid-grade and premium unleaded gasoline, the product price assessment for Unl 87,
(b) "Bloombergs" means Bloombergs Oil Buyers Guide,
(c) "maximum retail price" means the petroleum product base price for a type of heating fuel or motor fuel, which constitutes the maximum price chargeable by a retailer to a consumer for that type of heating fuel or motor fuel,
(d) "maximum wholesale price" means the petroleum product base price for a type of heating fuel or motor fuel, which constitutes the maximum price chargeable by a wholesaler to a retailer for that type of heating fuel or motor fuel,
(d.1) "OPIS" means Oil Price Information Service price report,
(e) "Platts" means Platts Oilgram Price Report, and
(f) "point of sale" means
(i) with respect to the sale of heating fuel or motor fuel by a wholesaler to a retailer, the location of the outlet from which the retailer intends to sell the heating fuel or motor fuel to consumers, or
(ii) with respect to the sale of heating fuel or motor fuel by a retailer to a consumer, the location at which the heating fuel or motor fuel is delivered to the consumer.
3. (1) Within 30 days after these regulations come into force, every wholesaler and retailer shall provide the board, in writing, with
(a) the name of an individual and the individual’s position title, designated by the wholesaler or retailer, to receive all notices, decisions, requests, correspondence and other communications from the board on behalf of that wholesaler or retailer, and
(b) contact information for the wholesaler or retailer, including where possible
(i) a mailing address,
(ii) a telephone number,
(iii) a facsimile number, and
(iv) an electronic mail address.
(2) A person who becomes a wholesaler or retailer after these regulations come into force shall provide the board with the information set out in subsection (1) within 30 days of becoming a wholesaler or retailer.
6. (1) A wholesaler shall not charge a price to a retailer for heating fuel or motor fuel greater than the maximum wholesale price for the zone within which the point of sale is located.
(2) A retailer shall not charge a price to a consumer for heating fuel or motor fuel greater than the maximum retail price for the zone within which the point of sale is located.
(3) Notwithstanding subsections (1) and (2), the board may, in accordance with the Act and these regulations, set a different maximum wholesale price or retail price that a wholesaler or retailer may charge for heating fuel or motor fuel within a zone.
8. Unless authorized by the board, a wholesaler or retailer shall not disclose to any other person a price established by the board before the date on which the price comes into force.</t>
  </si>
  <si>
    <t>Cables, Bin, Presses, Ducts, Bench, Pans, Signs, Tank, Hose, Mats, Energy using equipment, Trucks, Telephones, Financial Penalty, Pumps, Motors, Cap, Tags</t>
  </si>
  <si>
    <t>https://www.assembly.nl.ca/Legislation/sr/Regulations/rc010079.htm</t>
  </si>
  <si>
    <t>https://legislation.nimonikapp.com/legislations/526339/legislation_texts</t>
  </si>
  <si>
    <t>https://www.bclaws.gov.bc.ca/civix/document/id/regulationbulletin/regulationbulletin/r0181_2022</t>
  </si>
  <si>
    <t>This document requires permit holders for oil and gas activities to have a security management program in accordance with CSA Standard Z246.1 Security management for petroleum and natural gas industry systems. The program must be updated and reviewed regularly and must include provisions for information security and cybersecurity, and training plans. It also contains reporting and recordkeeping requirements.</t>
  </si>
  <si>
    <t>Safety Management, Equipment, Fines, Penalties and Sanctions</t>
  </si>
  <si>
    <t>Telephones, Signs, Chairs, Cables, Financial Penalty, Mats, Pans, Train, Tables, Pens</t>
  </si>
  <si>
    <t>BCReg217/2017, BCReg146/2014, CA-BC-BCReg48/2021Appx1</t>
  </si>
  <si>
    <t>https://www.bclaws.gov.bc.ca/civix/document/id/regulationbulletin/regulationbulletin/2022bull31</t>
  </si>
  <si>
    <t>https://legislation.nimonikapp.com/legislations/527533/legislation_texts</t>
  </si>
  <si>
    <t>https://www.csagroup.org/store/product/2701654/</t>
  </si>
  <si>
    <t>This document, according to the CSA Group, "covers the requirements for steel pipe intended to be used for transporting fluids". It covers seamless pipe, electric-welded pipe (flash-welded pipe continuously welded and low-frequency electric-welded pipe excluded), and submerged-arc-welded pipe primarily intended for use in oil or gas pipeline systems.</t>
  </si>
  <si>
    <t>Ovens, Signs, Pipe, Financial Penalty, Bin, Presses, Mats, Ducts, Pans, Train, Ropes, Tables, Energy using equipment, Vises</t>
  </si>
  <si>
    <t>Z245.1:F22 - Tuyaux en Acier</t>
  </si>
  <si>
    <t>CA-CSAZ245.1:F22</t>
  </si>
  <si>
    <t>https://legislation.nimonikapp.com/legislations/527534/legislation_texts</t>
  </si>
  <si>
    <t>https://www.csagroup.org/fr/store/product/2701654/</t>
  </si>
  <si>
    <t>Cette norme, selon le Groupe CSA, couvre les exigences relatives aux tuyaux en acier destinés à être utilisés pour le transport des fluides. Elle vise les tuyaux sans soudure, les tuyaux soudés à l'électricité (à l'exclusion des tuyaux soudés par étincelage en continu et des tuyaux soudés à l'électricité à basse fréquence) et les tuyaux soudés à l'arc submergé destinés principalement à être utilisés dans les réseaux de pipelines de pétrole ou de gaz.</t>
  </si>
  <si>
    <t>https://legislation.nimonikapp.com/legislations/527535/legislation_texts</t>
  </si>
  <si>
    <t>https://www.csagroup.org/store/product/2701373/</t>
  </si>
  <si>
    <t>This document, according to the CSA Group, "covers the requirements for steel fittings intended to be used for transporting fluids". It covers wrought steel buttwelding fittings, including extruded headers, primarily intended for use in oil or gas pipeline systems.</t>
  </si>
  <si>
    <t>Header, Ovens, Signs, Pipe, Scrapers, Fittings, Financial Penalty, Mats, Ducts, Pans, Ropes, Tables, Energy using equipment, Vises, Pins</t>
  </si>
  <si>
    <t>Z245.11:F22 - Raccords en Acier</t>
  </si>
  <si>
    <t>CA-CSAZ245.11:F22</t>
  </si>
  <si>
    <t>https://legislation.nimonikapp.com/legislations/527536/legislation_texts</t>
  </si>
  <si>
    <t>https://www.csagroup.org/fr/store/product/2701373/</t>
  </si>
  <si>
    <t>Ce document, selon le Groupe CSA, couvre les exigences relatives aux raccords en acier destinés à être utilisés pour le transport de fluides. Il couvre les raccords en acier forgé à souder bout à bout, y compris les collecteurs extrudés, principalement destinés à être utilisés dans les systèmes d'oléoducs ou de gazoducs.</t>
  </si>
  <si>
    <t>https://legislation.nimonikapp.com/legislations/527537/legislation_texts</t>
  </si>
  <si>
    <t>https://www.csagroup.org/store/product/2701371/</t>
  </si>
  <si>
    <t>This document, according to the CSA Group, "covers the requirements for steel valves intended to be used for transporting fluids". It covers steel valves primarily intended for use in oil or gas pipeline systems.</t>
  </si>
  <si>
    <t>Cables, Presses, Bur, Pans, Gate, Vises, Ovens, Signs, Pipe, Valves, Mats, Ropes, Energy using equipment, Financial Penalty, Fittings, Tables</t>
  </si>
  <si>
    <t>Z245.15:F22 - Vannes en acier</t>
  </si>
  <si>
    <t>CA-CSAZ245.15:F22</t>
  </si>
  <si>
    <t>https://legislation.nimonikapp.com/legislations/527538/legislation_texts</t>
  </si>
  <si>
    <t>https://www.csagroup.org/fr/store/product/2701371/</t>
  </si>
  <si>
    <t>Ce document, selon le Groupe CSA, couvre les exigences relatives aux robinets en acier destinés à être utilisés pour le transport de fluides. Il couvre les robinets en acier principalement destinés à être utilisés dans les systèmes de pipelines de pétrole ou de gaz.</t>
  </si>
  <si>
    <t>https://legislation.nimonikapp.com/legislations/527539/legislation_texts</t>
  </si>
  <si>
    <t>https://www.csagroup.org/store/product/2703706/</t>
  </si>
  <si>
    <t>This document, according to the CSA Group, "covers the requirements for external coatings for buried or submerged piping". It covers the qualification, application, inspection, testing, handling, and storage of materials required for coatings applied externally to steel piping in the field or a shop. Coated piping addressed by this document is intended primarily for buried or submerged service in oil or gas pipeline systems.</t>
  </si>
  <si>
    <t>Signs, Financial Penalty, Pipe, Cables, Insulation, Bur, Mats, Pans, Vises, Tables, Energy using equipment, Thermometer, Glass, Tap, Pins</t>
  </si>
  <si>
    <t>Z245.30:F22 - Revêtements extérieurs appliqués sur le terrain pour les systèmes de canalisations en acier</t>
  </si>
  <si>
    <t>CA-CSAZ245.30:F22</t>
  </si>
  <si>
    <t>https://legislation.nimonikapp.com/legislations/527540/legislation_texts</t>
  </si>
  <si>
    <t>https://www.csagroup.org/fr/store/product/2703706/</t>
  </si>
  <si>
    <t>Ce document, selon le Groupe CSA, couvre les exigences relatives aux revêtements externes pour la tuyauterie enterrée ou submergée. Il traite de la qualification, de l'application, de l'inspection, de la mise à l'essai, de la manutention et de l'entreposage des matériaux requis pour les revêtements appliqués extérieurement à la tuyauterie en acier sur le terrain ou en atelier. Les tuyauteries revêtues visées par ce document sont principalement destinées à être enterrées ou immergées dans des systèmes d'oléoducs ou de gazoducs.</t>
  </si>
  <si>
    <t>Undeveloped Mineral Areas Act</t>
  </si>
  <si>
    <t>CA-NL-RSNL1990,cU-2</t>
  </si>
  <si>
    <t>https://legislation.nimonikapp.com/legislations/527632/legislation_texts</t>
  </si>
  <si>
    <t>https://canlii.ca/t/8b51</t>
  </si>
  <si>
    <t>2. In this Act
(a) "development" includes all things necessary to be done preparatory to the carrying on of mining operations and the actual extraction of minerals from the undeveloped mineral area and mining operations conducted in connection with the preceding,
(b) "mine" means a work or undertaking for the extraction or production of mineral ore,
(c) "mineral" includes a naturally occurring inorganic substance both metallic and non-metallic, and includes quarry materials and salt, and also includes coal, oil and natural gas,
(d) "mineral area" means land, whether surface, sub-surface, or submarine
(i) comprised in a grant, lease, or licence from the Crown in which minerals were or were not reserved to the Crown, or
(ii) title to which was obtained in a manner other than one referred to in subparagraph (i)
and includes a mine,
(e) "mineral ore" includes unprocessed minerals or mineral bearing substances,
(f) "minister" means the minister appointed under the Executive Council Act to administer this Act,
(g) "operator" means a person with whom an agreement is made under section 5,
(h) "owner" includes a lessee or licensee,
(i) "quarry materials" means limestone, granite, slate, marble, gypsum, marl, clay, sand, gravel, building stone, and volcanic ash, and
(j) "undeveloped mineral area" means a mineral area that has been declared undeveloped within the meaning of this Act under section 3.
5. (1) The minister may make an agreement with a company, partnership or person providing for the prospecting of an undeveloped mineral area or for the development of that undeveloped mineral area, including the actual extraction of minerals from the undeveloped mineral area and the conducting of mining operations or for both the prospecting and development.
(5) An agreement made with an operator in accordance with this section shall upon its execution and delivery be valid and binding upon persons affected by it, and it shall have the effect of law as if expressly enacted in this Act, and the parties to the agreement and the successors and assigns of each of them shall have full power and authority to do and perform or omit to do and perform the acts, matters and things that the agreement provides in the manner and with the effect and under the conditions stipulated and provided in the agreement.
(7) Subject to the terms and conditions of the agreement made with an operator under this section, the operator has for the period prescribed in the agreement the exclusive right of possession of the undeveloped mineral area to which that agreement relates.
(8) An operator who has prospecting rights under an agreement made under this section may take away from the undeveloped mineral area to which the agreement relates the minerals for the purposes and for the period that may be prescribed in the agreement, and that operator has the sole ownership of the minerals.
(9) An operator who has the right to conduct the development of an undeveloped mineral area under an agreement made under this section may, subject to the provisions, terms and conditions of, and during the period prescribed by, the agreement, extract and take away minerals from that mineral area without restriction as to quantity and may conduct mining operations in the undeveloped mineral area that are necessary or desirable and that operator has the sole ownership of the minerals.</t>
  </si>
  <si>
    <t>Ovens, Signs, Balance, Financial Penalty, Bin, Presses, Mats, Ducts, Bearings, Sanction, Violation, Criminal Charge, Hose, Pans, Ropes, Bit, Pens, Pins</t>
  </si>
  <si>
    <t>https://www.assembly.nl.ca/Legislation/sr/statutes/u02.htm</t>
  </si>
  <si>
    <t>Mineral Exploration Standards Regulations</t>
  </si>
  <si>
    <t>CA-NL-NLR39/07</t>
  </si>
  <si>
    <t>https://legislation.nimonikapp.com/legislations/527670/legislation_texts</t>
  </si>
  <si>
    <t>https://canlii.ca/t/8cpc</t>
  </si>
  <si>
    <t>2. The standards for mineral exploration in Labrador Inuit Lands agreed to by the province and the Nunatsiavut Government under section 4.11.6 of the Labrador Inuit Land Claims Agreement and set out in the Schedule shall apply to mineral exploration in Labrador Inuit Lands.
Schedule
Standards for Exploration in Labrador Inuit Lands
1.2 In addition to complying with these Standards, Applicants must obtain all other approval, licenses and permits required by law, and comply with all applicable environmental protection laws.
1.4 In these Standards:
(a) "Applicant" means a Person who intends to search for Subsurface Resources in, on or under Labrador Inuit Lands, including Labrador Inuit Lands under water, or who is engaged in pre-feasibility studies in relation to a Subsurface Resource and who has submitted a Work Plan for approval under section 2.1,
(b) "Approved Work Plan" means a Work Plan that has been approved under section 2.1(a) and includes any term or condition on which such approval is given,
(c) "body of water" and "water" have the meanings assigned to them in the Water Resources Act, SNL2002 cW-4.01,
(d) "critical habitat" and "habitat" have the meanings assigned to them in the Species at Risk Act , S.C. 2002, c. 29,
(e) "endangered species" has the meaning assigned to it in the Species at Risk Act , S.C. 2002, c. 29,
(f) "Environmental Protection Plan" and "EPP" means a detailed statement of the activities, systems and methods to be undertaken by the Applicant to protect the Environment in relation to an Exploration Program and must include:
(i) education, information and orientation for all personnel in relation to protection of the Environment and protection of Historic Resources and the activities, systems, equipment and methods to be used for their protection,
(ii) monitoring and auditing for purposes of determining compliance with Environmental Laws and Laws for the protection of Historic Resources, determining compliance with the Approved Work Plan and determining whether any adjustments to the Environmental Protection Plan, Work Plan or Exploration Program may be necessary, and
(iii) protocols to be followed in the event of a discovery of a Historic Resource and in the event of an emergency, accident or incident that may negatively impact the Environment,
(g) "Exploration Program" includes Exploration and an activity or action, or course of activities or actions, that are associated with, planned, or carried out in connection with, or subsidiary to, Exploration, the delineation or definition of a Subsurface Resource or the completion of pre-feasibility studies in order to establish the value or extent of a Subsurface Resource for purposes of developing, working or producing the Subsurface Resource,
(h) "Governments" means the Government of Newfoundland and Labrador and the Nunatsiavut Government and "Government" means either of them,
(i) "Historic Resource" refers to an Archaeological Site, Archaeological Material, burial site and human remains,
(j) "Plan Holder" means a Person authorized to carry out Exploration in Labrador Inuit Lands under an Approved Work Plan and includes:
(i) the officers, agents and employees of the Plan Holder,
(ii) each and every partner, subsidiary or affiliate of the Plan Holder,
(iii) each and every contractor and subcontractor of the Plan Holder, and
(iv) the successors and assigns of the Plan Holder,
(k) "Reclamation and Closure Plan" means a detailed description of the process of reclamation (as defined in section 11.1), including progressive reclamation, in relation to a Site and at each stage of an Exploration Program up to and including temporary closures and final termination of Exploration activities at the Site,
(l) "Sensitive Area" means a Protected Area, critical habitat, or an area of Labrador Inuit Lands declared by the Nunatsiavut Government to be an environmentally or ecologically sensitive area,
(m) "Site" means a location in Labrador Inuit Lands, including Labrador Inuit Lands covered by water, where an activity is planned or carried out for purposes of an Exploration Program,
(n) "Standards" means these Standards for Exploration in Labrador Inuit Lands,
(t) "threatened species" has the meaning assigned to it in the Species at Risk Act , S.C. 2002, c. 29,
(u) "Vessel" includes boat, speed boat, canoe, zodiac, longliner, and barge.
(v) "Work Plan" means a plan for Exploration in Labrador Inuit Lands submitted to the Governments under section 2.1 and includes an Environmental Protection Plan and a Reclamation and Closure Plan in relation to the planned Exploration.
2.1 Any Person who wishes to carry out an Exploration Program in Labrador Inuit Lands must submit a Work Plan to the Governments detailing the proposed Exploration Program. The Exploration Program may proceed only upon:
(a) Approval of the Work Plan by the Minister of Lands and Resources of the Nunatsiavut Government and the Minister of Natural Resources of the Government of Newfoundland and Labrador ,
(b) Consent for access to and use of Labrador Inuit Lands granted by the Nunatsiavut Government by issuance of a Land Use Permit under the Labrador Inuit Lands Act , IL 2005-14, and
(c) issuance of an exploration approval under the Mineral Act , RSNL1990 cM-12.
4.6 Within 60 days of the end of each Exploration season or final termination of an Exploration Program the Plan Holder must provide to the Nunatsiavut Government a written report consisting of a summary of all Exploration activities carried out under the Work Plan which must include:
(a) a summary of all activities and matters referred to in section 4.7,
(b) reports on activities related to environmental protection,
(c) reports on health and safety performance,
(d) reports on employment numbers,
(e) reports respecting campsites,
(f) reports respecting fuel caches and storage sites and facilities and fuel consumption,
(g) an account and summary of community information sessions,
(h) environmental baseline data,
(i) a summary, by category, of expenditures,
(j) a summary statement of planned future exploration activities and expenditures,
(k) a statement by a qualified person as to the significance of the Exploration results. For purposes of this section "qualified person" has the same meaning as in National Instrument 43-101 of the Canadian Securities Administrators as amended from time to time, and
(l) reports respecting implementation of the Closure and Reclamation Plan and, as applicable, progressive reclamation activities and closure.</t>
  </si>
  <si>
    <t>Natural Resource Management, Safety Management, Environment Management, Land Use, Security and Public Safety, Energy Management, Equipment, Fines, Penalties and Sanctions</t>
  </si>
  <si>
    <t>Bin, Wire, Pins, Hooks, Level, Markers, Loops, Lights, Vehicle, Energy using equipment, Bit, Filters, Gauges, Pumps, Barrier, Cap, Pens, Drill, Cables, Detonator, Sights, Gate, Shades, Signs, Pipe, Helicopters, Studs, Hose, Ramp, Chain, Settling tank, Jars, Handles, Barge, Counters, Sanction, Violation, Criminal Charge, Tags, Nozzles, Berm, Radio, Gauge, Nuts, Sinks, Floats, Aircraft, Mats, Flags, Anchors, Train, Dyke, Ropes, Shaft, Timber, Financial Penalty, Sorbents, Files, Drum, Screws, Canoe, Screen, Tap, Brushes, Presses, Bur, Ducts, Pans, Vises, Racks, Boom, Tank, Boxes, Lagging, Pile, Bags, Plugs, Dams, Fire Extinguishers, Diamond Drill, Saws, Water lines, Blaster, Tables, Springs</t>
  </si>
  <si>
    <t>CA-NL-SNL2004,cL-3.1</t>
  </si>
  <si>
    <t>https://www.assembly.nl.ca/Legislation/sr/Regulations/rc070039.htm</t>
  </si>
  <si>
    <t>Undeveloped Mineral Areas Order</t>
  </si>
  <si>
    <t>CA-NL-NLR32/97</t>
  </si>
  <si>
    <t>https://legislation.nimonikapp.com/legislations/527698/legislation_texts</t>
  </si>
  <si>
    <t>https://canlii.ca/t/8cms</t>
  </si>
  <si>
    <t>2. The following fee simple mining grants and mineral claim are declared to be undeveloped within the meaning of the Undeveloped Mineral Areas Act :
(a) fee simple mining grants issued to Bernard Parsons and Alexander Graham, all dated July 8, 1938 under The Crown Lands Act, 1930 :
(i) Claim No. 181 registered in Volume 1 Folio 7,
(ii) Claim No. 183 registered in Volume 1 Folio 8,
(iii) Claim No. 184 registered in Volume 1 Folio 9,
(iv) Claim No. 353 registered in Volume 1 Folio 10,
(v) Claim No. 354 registered in Volume 1 Folio 11, and
(vi) Claim No. 432 registered in Volume 1 Folio 12,
(b) fee simple mining grant issued to Alexander Hodder, Alexander Graham, Jacob Cramm and John Powell dated February 20, 1925 under Chapter 129 of the Consolidated Statutes of Newfoundland, 1916 and registered in Volume 1 Folio 158, including the surface rights granted in it, and
(c) mineral claim No. 182 issued to Bernard Parsons and Alexander Graham on January 12, 1935 and registered in the Certificate of Record Register Volume 1 Folio 100.</t>
  </si>
  <si>
    <t>Files</t>
  </si>
  <si>
    <t>https://www.assembly.nl.ca/Legislation/sr/Regulations/rc970032.htm</t>
  </si>
  <si>
    <t>Description of Lands Open for Staking in respect of which the Mineral Claims Recorder shall Issue only Map Staked Licences Order</t>
  </si>
  <si>
    <t>CA-NL-CNLR1015/96</t>
  </si>
  <si>
    <t>https://legislation.nimonikapp.com/legislations/527736/legislation_texts</t>
  </si>
  <si>
    <t>https://canlii.ca/t/8bcx</t>
  </si>
  <si>
    <t>1. This Order may be cited as the Description of Lands Open for Staking in respect of which the Mineral Claims Recorder shall Issue only Map Staked Licences Order .
2. The following lands, being the island portion of the province are described and the mineral claims recorder shall issue map staked licences only in respect of those lands
(a) a ground staked licence shall not be issued in respect of lands on the island portion of the province, and
(b) the mineral claims recorder shall issue map staked licences only in respect of lands on the island portion of the province.
3. Under previous orders, all lands in the Labrador portion of the province shall be available for map staking only.
4. The land staking regime shall be consistent through the province and only map staked licences shall be issued by the mineral claims recorder, subject to savings for physical staking as provided by section 10 of the Mineral Act .</t>
  </si>
  <si>
    <t>Natural Resource Management, Land Use, Equipment</t>
  </si>
  <si>
    <t>Recorders, Hose, Pens</t>
  </si>
  <si>
    <t>https://www.assembly.nl.ca/Legislation/sr/Regulations/rc961015.htm</t>
  </si>
  <si>
    <t>Offshore Area Petroleum Diving Newfoundland and Labrador Regulations</t>
  </si>
  <si>
    <t>CA-NL-CNLR738/96</t>
  </si>
  <si>
    <t>https://legislation.nimonikapp.com/legislations/527747/legislation_texts</t>
  </si>
  <si>
    <t>https://canlii.ca/t/8c6j</t>
  </si>
  <si>
    <t>3. These regulations apply to a diving operation carried on in connection with the exploration or drilling for or the production, conservation, processing or transportation of petroleum within the offshore area.
6. (1) The operator of a diving program shall
(a) arrange for the services of a diving safety specialist who will be available on a 24 hour a day basis to advise a person involved in the diving program, including a person making decisions affecting the safety of divers involved in the diving program, on all safety aspects of the diving program,
(b) make available a suitable place from which a diving operation that is part of the diving program may be conducted,
(c) to the extent practicable, give advance notice of an operation that is part of the diving program to the person in charge of a craft or installation in the vicinity of the operation,
(d) make available adequate forecasts of environmental conditions to the supervisor on duty at a diving operation that is part of the diving program
(i) before the diving operation begins, and
(ii) during the diving operation, at intervals of not more than 24 hours and where the supervisor requests those forecasts,
(e) inform the supervisor on duty at a diving operation that is part of the diving program of a matter within the operator's control that may affect the safety of the diving operation,
(f) provide an adequate and effective system of communication between the supervisor on duty and a person, other than the divers and pilots, involved in, or in a position to assist in, a diving operation that is part of the diving program, including a winch or crane operator and a person on the bridge, on the rig floor or in the main control room of a craft or installation used in the diving operation,
(g) while a diving operation that is part of the diving program is in progress, prominently display notices to that effect
(i) in the case of a craft or installation used in the diving operation, on the bridge and in the engine room, and
(ii) in the case of a diving plant and equipment used in the diving operation, on controls the operation of which might endanger a diver or pilot and on controls for impressed current cathodic protection,
(h) display in the control room of a craft that will be operated in the dynamically positioned mode in a diving operation that is part of the diving program a copy of the craft's dynamically positioned diving operational capacity graph,
(i) in the event that a member of a diving crew involved in the diving program meets with an accident, notify the Chief Safety Officer or a safety officer of the accident by the most rapid and practicable means and submit to the Chief Safety Officer or the safety officer a report of the accident in the form prescribed by the board,
(j) in the event of a serious illness affecting a member of a diving crew involved in the diving program or an incident in connection with the diving program,
(i) notify the Chief Safety Officer or a safety officer of the illness or incident as soon as possible,
(ii) investigate the cause of the illness or incident, and
(iii) submit to the Chief Safety Officer or the safety officer a report of that illness or incident, including, in the case of an incident, a report in the form prescribed by the board,
(k) submit to the Chief Safety Officer a monthly report of all injuries of a diving crew involved in a diving operation that is part of the diving program, and
(l) during the course of a diving operation that is part of the diving program, display a copy of the authorization under paragraph 134(1)(b) of the Act for that diving program and evidence of an approval granted in relation to that authorization under section 5 in a prominent place at the diving station for the diving operation.
(2) The operator of a diving program shall not
(a) conduct a diving operation that is part of the diving program in the vicinity of another activity that might pose a danger to a person involved in the diving operation,
(b) use in a diving operation a craft that has insufficient power or stability for the safe conduct of the diving operation, and
(c) prevent a diving contractor involved in the diving program from complying with the provisions of these regulations.</t>
  </si>
  <si>
    <t>Safety Management, Security and Public Safety, Equipment, Energy Management, Fines, Penalties and Sanctions</t>
  </si>
  <si>
    <t>Springs, Conduits, Cables, Regulator, Presses, Wire, Ducts, Depth Gauges, Pans, Nuts, Mill, Indicators, Brakes, Hoist, Pins, Vises, Signs, Gears, Pipe, Bottles, Labels, Hoist, Studs, Doors, Hose, Ramp, Lamp, Reservoirs, Winches, Lifting device, Prime mover, Level, Winch, Valves, Crane, Aircraft, Lights, Mats, Switches, Vehicle, Anchors, Train, Dams, Ropes, Energy using equipment, Skip, Compressors, Bit, Cage, Bells, Telephones, Handles, Crane, Magnet, Gauges, Respirators, Fittings, Financial Penalty, Counters, Drum, Pumps, Clamps, Sanction, Violation, Criminal Charge, Cap, Tables, Tags, Alarms, Pens, Drill, Tap, Gauge</t>
  </si>
  <si>
    <t>https://www.assembly.nl.ca/Legislation/sr/Regulations/rc960738.htm</t>
  </si>
  <si>
    <t>Offshore Area Registration Regulations</t>
  </si>
  <si>
    <t>CA-NL-CNLR2/96</t>
  </si>
  <si>
    <t>https://legislation.nimonikapp.com/legislations/527748/legislation_texts</t>
  </si>
  <si>
    <t>https://canlii.ca/t/8ckb</t>
  </si>
  <si>
    <t>2. In these regulations "Act" means theCanada-Newfoundland and Labrador Atlantic Accord Implementation Newfoundland and Labrador Act.
12. (1) An interest may be surrendered with respect to all or any portion of the offshore area that is subject to the interest by sending a notice of surrender to the registrar describing the offshore area in question.
(2) A notice of surrender of an interest in respect of all the offshore area subject to the interest shall be executed by the interest owner or, if the interest owner consists of more than one interest holder, by each holder.
(3) A notice of surrender of an interest in respect of a portion of the offshore area that is subject to the interest shall be executed by the interest owner or by the holder of each share in the interest held in respect of that portion.
13. (1) Interest holders shall appoint a representative referred to in subsection 52(1) of the Act by sending a notice of appointment executed by each interest holder to the registrar.
(2) Where there is a change in the name or address of a representative referred to in subsection (1), the representative shall notify the registrar immediately of the change.</t>
  </si>
  <si>
    <t>Signs, Fuse, Magnet, Bin, Presses, Files, Mats, Hose, Energy using equipment, Pens, Vises</t>
  </si>
  <si>
    <t>https://www.assembly.nl.ca/Legislation/sr/Regulations/rc960002.htm</t>
  </si>
  <si>
    <t>Offshore Certificate of Fitness Newfoundland and Labrador Regulations</t>
  </si>
  <si>
    <t>CA-NL-NLR18/97</t>
  </si>
  <si>
    <t>https://canlii.ca/t/8b65</t>
  </si>
  <si>
    <t>2. In these regulations
(a) "accommodation installation" means an installation that is used to accommodate persons at a production site or drill site and that functions independently of a production installation, drilling installation or diving installation, and includes an associated dependent diving system,
(b) "Act" means the Canada-Newfoundland and Labrador Atlantic Accord Implementation Newfoundland and Labrador Act ,
(c) "certificate of fitness" means a certificate, in the form fixed by the board, issued by a certifying authority in accordance with section 4,
(d) "certifying authority" means, for the purposes of section 135.2 of the Act, the American Bureau of Shipping, Bureau Veritas, Det norske Veritas Classification A/S, Germanischer Lloyd or Lloyds Register North America, Inc.,
(e) "chief" means the chief safety officer,
(f) "dependent diving system" means a diving system that is associated with an installation other than a diving installation and that does not function independently of the installation,
(g) "dependent personnel accommodation" means personnel accommodation that is associated with an installation other than an accommodation installation and that does not function independently of the installation,
(h) "diving installation" means a diving system and an associated vessel that functions independently of an accommodation installation, production installation or drilling installation,
(i) "diving system" means the plant or equipment used in or in connection with a diving operation, and includes the plant and equipment that are essential to a diver or to a pilot of a manned submersible,
(j) "drill site" means a location where a drilling rig is or is proposed to be installed,
(k) "drilling base" means the stable foundation on which a drilling rig is installed, and includes the seafloor, an artificial island, an ice platform, a platform fixed to the ground or seafloor and another foundation specially constructed for drilling operations,
(l) "drilling installation" means a drilling unit or a drilling rig and its associated drilling base, and includes an associated dependent diving system,
(m) "drilling rig" means the plant used to make a well by boring or other means, and includes a derrick, draw-works, rotary table, mud pump, blowout preventer, accumulator, choke manifold and other associated equipment, including power, control and monitoring systems,
(n) "drilling unit" means a drillship, submersible, semi-submersible, barge, jack-up or other vessel that is used in a drilling program and is fitted with a drilling rig, and includes the drilling rig and other facilities related to the drilling program that are installed on a vessel,
(o) "installation" means a diving installation, a drilling installation, a production installation or an accommodation installation,
(p) "mobile installation" means an installation that is designed to operate in a floating or buoyant mode or that can be moved from place to place without major dismantling or modification, whether or not it has its own motive power,
(q) "new installation" means an installation that is constructed after the coming into force of these regulations,
(r) "operator" means a person who has applied for or has been issued a production operations authorization, a Drilling Program Authorization or a Diving Program Authorization under paragraph 134(1)(b) of the Act,
(s) "production facility" means equipment for the production of oil or gas located at a production site, including separation, treatment and processing facilities, equipment and facilities used in support of production operations, landing areas, heliports, storage areas or tanks and dependent personnel accommodations, but not including an associated platform, artificial island, subsea production system, drilling equipment or diving system,
(t) "production installation" means a production facility and an associated platform, artificial island, subsea production system, loading system, drilling equipment, facilities related to marine activities and dependent diving system,
(u) "production operation" means an operation that is related to the production of oil or gas from a pool or field,
(v) "production site" means a location where a production installation is or is proposed to be installed,
(w) "scope of work" means the plan of activities carried out by a certifying authority and submitted to the chief for approval under section 6, for the purposes of issuing a certificate of fitness, and
(x) "subsea production system" means equipment and structures that are located on or below or buried in the seafloor for the production of oil or gas from, or for the injection of fluids into, a field under a production site, and includes production risers, flow lines and associated production control systems.
3. These regulations apply in respect of those submarine areas within the offshore area.
4. (1) The following installations are prescribed for the purposes of section 135.2 of the Act:
(a) each production installation, accommodation installation and diving installation at a production site, and
(b) each drilling installation, diving installation and accommodation installation at a drill site.
10. Where a person to whom a certificate of fitness has been issued intends to change the certifying authority in respect of an installation, the person shall
(a) where possible, notify the chief at least 90 days before the change is made, and
(b) where it is not possible to notify the chief in accordance with paragraph (a), notify the chief as soon as the person changes the certifying authority.</t>
  </si>
  <si>
    <t>Environment Management, Safety Management, Security and Public Safety</t>
  </si>
  <si>
    <t>https://www.assembly.nl.ca/Legislation/sr/Regulations/rc970018.htm</t>
  </si>
  <si>
    <t>Offshore Oil Royalty Regulations</t>
  </si>
  <si>
    <t>CA-NL-CNLR37/17</t>
  </si>
  <si>
    <t>https://legislation.nimonikapp.com/legislations/527750/legislation_texts</t>
  </si>
  <si>
    <t>https://canlii.ca/t/90s0</t>
  </si>
  <si>
    <t>2. These regulations apply to leases issued after the coming into force of these regulations.
3. (1) In these regulations
(a) "Act" means the Petroleum and Natural Gas Act ,
(b) "affiliate" has the same meaning as the words "affiliated persons" in section 251.1 of the Income Tax Act (Canada ),
(c) "barrel" means 0.1589873 cubic metres or 42 US gallons or 34.9723 Canadian gallons measured at 101.325 kPa and a temperature of 15 ° Celsius,
(d) "basic royalty" means the royalty share required to be paid in accordance with section 6,
(i) "interest holder", with respect to a lease or a share in a lease, means the holder of that lease or share as recorded in the appropriate registry for that lease or share, or, where a lease has not been issued, the proponents of a project where the development plan has been approved by the board and the proponents will be applying for a lease,
(j) "lease" means a lease issued by the board,
(k) "loading point" means the final point of measurement of the production facilities of a lease prior to the loading of oil for transportation,
(l) "net royalty" means the royalty share required to be paid under section 11,
(m) "offshore area" means offshore area as defined in the Canada-Newfoundland and Labrador Atlantic Accord Implementation Newfoundland and Labrador Act ,
(n) "overhead" means the general corporate and administrative costs incurred for an organization, employees and facilities including those relating to the functions of finance, administration, employee relations, information systems, legal and accounting services, government relations, public affairs and planning,
(r) "project operator" means a person designated by the interest holders in a lease to act as the operator for the development and production activities carried out under that lease,
(s) "records" includes an account, agreement, book, report, chart, table, diagram, form, image, invoice, letter, map, memorandum, plan, return, voucher, working paper, modelling document, analysis, projection, estimate and other thing containing information that is written or recorded including those items or data in machine readable or electronic format,
(v) "royalty cost" means a cost that is an eligible operating cost, eligible capital cost, eligible predevelopment cost or a net decommissioning cost,
(w) "tanker administrator" means, for an owned tanker, capital lease tanker, operating lease tanker or replacement tanker, a person designated to act as the administrator for the transportation activities of that tanker,
(x) "tanker cost aggregator" means a third party selected by the interest holders that aggregates eligible tanker costs and tanker incidental revenue based on reports provided by tanker administrators and interest holders,
(y) "transshipment facility administrator" means a person that acts as the administrator of a transshipment facility,
(z) "transaction" includes an arrangement or event and a "series of transactions" includes related transactions completed in contemplation of the series, and
(aa) "working interest share" means an interest holder's pro rata share of the costs, revenues and production under a lease based upon that interest holder's undivided interest in the lease. 
4. (1) An interest holder is liable to the Crown for royalty share calculated in accordance with these regulations and that royalty share may be taken in kind or paid in money at the option of the minister.
(2) The royalty portion of royalty share shall include, when required to be paid under these regulations, basic royalty and net royalty.
(3) An interest holder shall assess royalty share, gross revenue, royalty costs, net revenue, recovery factor, royalty rate and payout for a lease separate from
(a) other interest holders in the same lease, and
(b) other leases in which that interest holder may have a share,
and that assessment is subject to audit and reassessment by the minister.
44. (1) An interest holder shall ensure that records required under the Act or these regulations that are stored electronically are provided to the minister in a format that is readable and useable for the purposes of an audit.
(2) An interest holder shall co-operate with an employee of the Department of Natural Resources in the translation of those records referred to in subsection (1) into a readable format.
69. (1) A tanker used to transport oil produced under a lease shall be classified as only one of the following 5 types:
(a) owned tanker,
(b) capital lease tanker,
(c) operating lease tanker,
(d) second leg tanker, or
(e) replacement tanker.
(2) The interest holders in a lease shall inform the minister of their classification of a tanker within 30 days of the interest holders' purchase of the tanker or the execution of the lease and where the minister does not agree with the classification, the minister shall determine the classification of the tanker.</t>
  </si>
  <si>
    <t>Cables, Bin, Conveyance, Presses, Bur, Ducts, Pans, Gate, Vises, Pins, Signs, Tank, Studs, Hose, Reservoirs, Balance, Mats, Dams, Ropes, Energy using equipment, Financial Penalty, Tender, Files, Sanction, Violation, Criminal Charge, Tanker, Cap, Tables, Tags, Pens</t>
  </si>
  <si>
    <t>https://www.assembly.nl.ca/Legislation/sr/Regulations/rc170037.htm</t>
  </si>
  <si>
    <t>Offshore Petroleum Cost Recovery Regulations</t>
  </si>
  <si>
    <t>CA-NL-NLR6/16</t>
  </si>
  <si>
    <t>https://legislation.nimonikapp.com/legislations/527751/legislation_texts</t>
  </si>
  <si>
    <t>https://canlii.ca/t/8wnr</t>
  </si>
  <si>
    <t>2. In these regulations,
(a) "Act" means the Canada-Newfoundland and Labrador Atlantic Accord Implementation Newfoundland and Labrador Act ,
(b) "actual full cost" means the full cost confirmed by the board's audited financial statements,
(c) "direct regulatory activities" means the activities that are required for the board to fulfill its regulatory responsibilities such as assessing applications, issuing licences, granting approvals and authorizations, verifying and enforcing compliance with the Act and providing information, products and services,
(d) "indirect regulatory costs" means the costs that support the board's direct regulatory activities such as office accommodation, supplies and equipment, professional services, communications, travel, management, training, administration, human resources services, finance, information technology services, hardware and software, the preparation of documents, including policies, standards, guidelines, procedures and notices, and the provision of technical expertise, including any advice relating to legislation or regulations, to the federal minister or the provincial minister at that minister's request, and
(e) "project" means the work or activity referred to in paragraph 134(1)(b) of the Act.
10. (1) The fee for each activity set out in the table to this subsection is determined by the formula
A x C
where
A is the base units of time related to each activity, and
B is the effective rate.
Item, Activity
1. Application for a declaration of significant discovery
2. Application for a declaration of commercial discovery
3. Application for a significant discovery licence
4. Application for a licence for subsurface storage
5. Application for a production licence
6. Application for an amendment to a licence or a consolidation of licences
7. Registration of a transfer
8. Registration of a security notice
9. Registration of an interest
10. Recording of a notice
11. Registration of an instrument other than a transfer or security notice
12. Application to an extension, by order, of the term of a production licence
13. Application for allowable expenditures
11. (1) On the submission of an application in respect of an activity set out in any table to section 10, the applicant shall pay to the board the fee determined in accordance with that section.
(2) If the board uses a heavy burden coefficient to calculate an additional charge in respect of an activity, the board shall invoice the applicant or the operator and the applicant or the operator shall pay that amount to the board within 30 days after the date of the invoice.
13. Any person, except a person requesting access for an academic purpose, the federal minister and the provincial minister, who accesses a physical sample at the geodata centre shall pay the daily access rate for each day the sample is accessed.
15. Interest on an amount owing to the board shall be calculated and compounded monthly at the rate of 1.5% and is payable and accrues during the period beginning on the due date and ending on the day before the day on which the payment is received by the board.</t>
  </si>
  <si>
    <t>Cables, Regulator, Bur, Ducts, Pans, Pins, Hose, Aircraft, Mats, Train, Energy using equipment, Financial Penalty, Files, Tables, Pens, Drill</t>
  </si>
  <si>
    <t>https://www.assembly.nl.ca/Legislation/sr/Regulations/rc160006.htm</t>
  </si>
  <si>
    <t>Oil Royalty Regulations</t>
  </si>
  <si>
    <t>CA-NL-CNLR22/96</t>
  </si>
  <si>
    <t>https://legislation.nimonikapp.com/legislations/527752/legislation_texts</t>
  </si>
  <si>
    <t>https://canlii.ca/t/8d0w</t>
  </si>
  <si>
    <t>2. In these regulations
(a) "Act" means the Petroleum and Natural Gas Act , and
(b) "petroleum" means hydrocarbons which at atmospheric pressure are in liquid form when loaded for shipment and includes non-hydrocarbon contaminants, but does not include gas.
3. (1) Each holder of a share in a lease issued under the Act before April 1, 1990 shall be liable for and shall pay to the Crown a basic royalty in the amount of $0.01 for each barrel of petroleum produced under the lease to which that holder of a share in the lease is entitled.
(2) The basic royalty shall be paid at the time and in the manner that may be prescribed by the minister.
4. A holder of a share of a lease issued under the Act before April 1, 1990 shall not pay to the Crown an incremental royalty in respect of petroleum produced under that lease.</t>
  </si>
  <si>
    <t>Financial Penalty, Presses, Sanction, Violation, Criminal Charge</t>
  </si>
  <si>
    <t>https://www.assembly.nl.ca/Legislation/sr/Regulations/rc960022.htm</t>
  </si>
  <si>
    <t>Port au Port Peninsula Petroleum and Natural Gas Development Area Order</t>
  </si>
  <si>
    <t>CA-NL-CNLR1018/96</t>
  </si>
  <si>
    <t>https://legislation.nimonikapp.com/legislations/527753/legislation_texts</t>
  </si>
  <si>
    <t>https://canlii.ca/t/8crd</t>
  </si>
  <si>
    <t>1. This Order may be cited as the Port au Port Peninsula Petroleum and Natural Gas Development Area Order .
2. In this Order, "minister" means the minister appointed under the Executive Council Act to administer the Petroleum and Natural Gas Act .
3. The area of the province described in Exploration Permit No. 93-102, issued to Hunt Oil Company under the Petroleum and Natural Gas Act and located on the Port au Port Peninsula, excluding
(a) the property included within Reid Lot No. 200, and
(b) the property included within the adjacent provincial park,
is described in the Schedule and is declared to be a development area.
4. All privately owned petroleum in the development area described in the Schedule is declared to be undeveloped petroleum.
5. Undeveloped petroleum in the development area described in the Schedule may be dealt with and disposed of by the minister according to the regulations under the Petroleum and Natural Gas Act as if it were Crown petroleum.</t>
  </si>
  <si>
    <t>Pans, Hose, Ropes, Pens</t>
  </si>
  <si>
    <t>https://www.assembly.nl.ca/Legislation/sr/Regulations/rc961018.htm</t>
  </si>
  <si>
    <t>Hibernia Development Project Act</t>
  </si>
  <si>
    <t>CA-SC1990,c41</t>
  </si>
  <si>
    <t>https://legislation.nimonikapp.com/legislations/529249/legislation_texts</t>
  </si>
  <si>
    <t>https://canlii.ca/t/7vq1</t>
  </si>
  <si>
    <t>1 This Act may be cited as the Hibernia Development Project Act.
3 (1) The Minister may, with the approval of the Governor in Council, enter into one or more agreements on behalf of Her Majesty in respect of the Hibernia Development Project.
(2) The agreements entered into under this section may include
(a) undertakings for the provision of assistance by Canada, including
(i) the payment of a contribution in respect of the capital costs of the Project, in an amount not exceeding in the aggregate one billion forty million dollars,
(ii) the guaranteeing from time to time, in accordance with terms and conditions approved by the Minister of Finance, of the payment of amounts, not exceeding in the aggregate at any time one billion six hundred and sixty million dollars in respect of principal, payable under or pursuant to loans, notes, bills of exchange or other financial instruments or arrangements made, given or issued in relation to the financing or refinancing of the whole or a portion of the Project,
(iii) the provision of other assistance in an amount not exceeding in the aggregate three hundred million dollars,
(iv) the guaranteeing from time to time, in accordance with terms and conditions approved by the Minister of Finance, of the payment of amounts, not exceeding in the aggregate at any time one hundred and seventy-five million dollars, payable under or pursuant to loans, notes, bills of exchange or other financial instruments or arrangements made, given or issued in relation to the provision of a temporary financing facility,
(v) the guaranteeing of the payment of the redemption premiums, if any, payable under the loans, notes, bills of exchange or other financial instruments or arrangements referred to in subparagraph (ii), of the amounts, if any, payable under any interest rate swap contract entered into in respect of any such instrument or arrangement, and of the interest payable in respect of any such instrument or arrangement for one interest period of twelve months or less, and
(vi) the guaranteeing from time to time, in accordance with terms and conditions approved by the Minister of Finance, of the payment of interest payable in respect of amounts that become payable pursuant to guarantees of loans, notes, bills of exchange or other financial instruments or arrangements referred to in subparagraph (ii), or guarantees of redemption premiums, amounts or interest referred to in subparagraph (v), for periods not exceeding fifteen days from the dates those instruments, arrangements, redemption premiums, amounts or interest become due until they are paid,
(b) provisions for the appointment of one or more trustees or other persons to perform such duties as may be required by the Minister, including the signing, as agent of Her Majesty, of certificates that represent the right of the proper holders of the certificates to participate in, and to have the benefit of, a guarantee entered into by the Minister under subparagraph (2)(a)(ii), (iv), (v) or (vi), provided that the maximum amounts referred to therein are not exceeded, which signatures shall have the same effect as that of the Minister,
(c) provisions for the payment of a net profit interest to Her Majesty,
(d) undertakings in relation to industrial and employment benefits,
(e) undertakings in relation to access to domestic and international markets for oil produced from the Project, subject to compliance with any other Act of Parliament including the Canadian Energy Regulator Act and the Canada–Newfoundland and Labrador Atlantic Accord Implementation Act and with any regulations thereunder, and access to international market prices for oil produced from the Project, and
(f) such other terms and conditions as the Minister considers desirable.
7 (1) Subject to this section, prescribed federal laws in relation to banking, bills of exchange, promissory notes, interest, bankruptcy, insolvency or the regulation of trade and commerce apply in the offshore area, with such modifications, if any, as are prescribed.</t>
  </si>
  <si>
    <t>Financial Administration, Accounting, Charges, Natural Resource Management, Energy Management, Equipment, Fines, Penalties and Sanctions</t>
  </si>
  <si>
    <t>Signs, Financial Penalty, Regulator, Bin, Mats, Fixtures, Sanction, Violation, Criminal Charge, Hose, Cap, Ropes, Energy using equipment, Mill, Gate</t>
  </si>
  <si>
    <t>https://laws-lois.justice.gc.ca/eng/acts/H-3.7/FullText.html</t>
  </si>
  <si>
    <t>Loi sur l’exploitation du champ Hibernia</t>
  </si>
  <si>
    <t>CA-LC1990,ch41</t>
  </si>
  <si>
    <t>https://legislation.nimonikapp.com/legislations/529250/legislation_texts</t>
  </si>
  <si>
    <t>https://canlii.ca/t/cktc</t>
  </si>
  <si>
    <t>https://laws-lois.justice.gc.ca/fra/lois/h-3.7/TexteComplet.html</t>
  </si>
  <si>
    <t>Newfoundland Offshore Certificate of Fitness Regulations</t>
  </si>
  <si>
    <t>CA-SOR/95-100</t>
  </si>
  <si>
    <t>https://legislation.nimonikapp.com/legislations/529251/legislation_texts</t>
  </si>
  <si>
    <t>https://canlii.ca/t/80f4</t>
  </si>
  <si>
    <t>1 These Regulations may be cited as the Newfoundland Offshore Certificate of Fitness Regulations.
3 These Regulations apply in respect of those submarine areas within the offshore area.
4 (1) The following installations are prescribed for the purposes of section 139.2 of the Act:
(a) each production installation, accommodation installation and diving installation at a production site, and
(b) each drilling installation, diving installation and accommodation installation at a drill site.
(2) Subject to subsections (3) and (5) and section 5, a certifying authority may issue a certificate of fitness in respect of the installations referred to in subsection (1), if the certifying authority
(a) determines that, in relation to the production or drill site or region in which the particular installation is to be operated, the installation
(i) is designed, constructed, transported, installed, established, maintained or equipped in accordance with
(A) Parts I to III of the Newfoundland Offshore Installations Petroleum Regulations, and
(B) the provisions of the Canada–Newfoundland and Labrador Offshore Area Occupational Health and Safety Regulations listed in Part 1 of the schedule to these Regulations,
(C) [Repealed, SOR/2021-247, s. 174]
(ii) is fit for the purpose for which it is to be used and can be operated safely without polluting the environment, and
(iii) will continue to meet the requirements of subparagraphs (i) and (ii) for the period of validity that is endorsed on the certificate of fitness if the installation is maintained in accordance with the inspection, maintenance and weight control programs submitted to and approved by the certifying authority under subsection (5), and
(b) carries out the scope of work in respect of which the certificate of fitness is issued.
(3) For the purposes of subparagraph (2)(a)(i), the certifying authority may substitute, for any equipment, methods, measure or standard required by any Regulations referred to in that subparagraph, equipment, methods, measures or standards the use of which is authorized by the Chief or Chief Conservation Officer, as applicable under section 151 of the Act.
(4) The certifying authority shall endorse on any certificate of fitness it issues details of every limitation on the operation of the installation that is necessary to ensure that the installation meets the requirements of paragraph (2)(a).
(5) The certifying authority shall not issue a certificate of fitness unless, for the purpose of enabling the certifying authority to determine whether the installation meets the requirements of paragraph (2)(a) and to carry out the scope of work referred to in paragraph (2)(b),
(a) the person applying for the certificate
(i) provides the certifying authority with all the information required by the certifying authority,
(ii) carries out or assists the certifying authority to carry out every inspection, test or survey required by the certifying authority, and
(iii) submits to the certifying authority an inspection and monitoring program, a maintenance program and a weight control program for approval, and
(b) if the programs are adequate to ensure and maintain the integrity of the installation, the certifying authority approves the programs referred to in subparagraph (a)(iii).
10 Where a person to whom a certificate of fitness has been issued intends to change the certifying authority in respect of an installation, the person shall
(a) where possible, notify the Chief at least 90 days before the change is made, and
(b) where it is not possible to notify the Chief in accordance with paragraph (a), notify the Chief as soon as the person changes the certifying authority.</t>
  </si>
  <si>
    <t>Cables, Bur, Ducts, Pins, Manifolds, Signs, Tank, Hose, Floats, Derrick, Mats, Bit, Jacks, Barge, Pumps, Tables, Pens, Drill</t>
  </si>
  <si>
    <t>https://laws.justice.gc.ca/eng/regulations/sor-95-100/FullText.html</t>
  </si>
  <si>
    <t>Règlement sur les certificats de conformité liés à l’exploitation des hydrocarbures dans la zone extracôtière de Terre-Neuve</t>
  </si>
  <si>
    <t>CA-DORS/95-100</t>
  </si>
  <si>
    <t>https://legislation.nimonikapp.com/legislations/529252/legislation_texts</t>
  </si>
  <si>
    <t>https://canlii.ca/t/cpjg</t>
  </si>
  <si>
    <t>https://laws.justice.gc.ca/fra/reglements/DORS-95-100/TexteComplet.html</t>
  </si>
  <si>
    <t>Canada–Newfoundland and Labrador Offshore Petroleum Cost Recovery Regulations</t>
  </si>
  <si>
    <t>CA-SOR/2016-21</t>
  </si>
  <si>
    <t>https://legislation.nimonikapp.com/legislations/529253/legislation_texts</t>
  </si>
  <si>
    <t>https://canlii.ca/t/8z1z</t>
  </si>
  <si>
    <t>2 For each new project relating to development, production, abandonment, exploratory drilling or multi-year or complex seismic programs in respect of petroleum operations, on receipt of a project description or letter of intent, the Board must
(a) prepare a regulatory activity plan,
(b) calculate the estimated annual charge payable by the applicant or the operator for the project by determining the estimated full cost, including indirect regulatory costs, associated with the implementation of the regulatory activity plan based on
(i) the cost of the estimated total number of units of time necessary to be spent in that fiscal year on direct regulatory activities for the project, and
(ii) any other costs, excluding costs calculated under other cost recovery methods, and
(c) notify the applicant or the operator, in writing, of the regulatory activity plan and the estimated annual charge payable.
4 If an applicant or operator proposes changes to its project that are not reflected in the regulatory activity plan, the Board may recalculate the estimated annual charge for that project and adjust the payable amount accordingly.
8 Each year the Board must publish, by electronic or other means that is likely to reach applicants and operators,
(a) the base units of time for each activity set out in the tables to section 9,
(b) the variable units of time for each activity set out in the table to subsection 9(3), and
(c) the effective rate.
10 (1) On the submission of an application in respect of an activity set out in any table to section 9, the applicant must pay to the Board the fee determined in accordance with that section.</t>
  </si>
  <si>
    <t>Environment Management, Natural Resource Management, Financial Administration, Accounting, Charges, Equipment, Fines, Penalties and Sanctions</t>
  </si>
  <si>
    <t>Financial Penalty, Regulator, Bur, Mats, Ducts, Hose, Pans, Train, Tables, Pens, Pins</t>
  </si>
  <si>
    <t>https://laws-lois.justice.gc.ca/eng/regulations/SOR-2016-21/FullText.html</t>
  </si>
  <si>
    <t>Règlement sur le recouvrement des coûts en matière d’hydrocarbures dans la zone extracôtière Canada — Terre-Neuve-et-Labrador</t>
  </si>
  <si>
    <t>CA-DORS/2016-21</t>
  </si>
  <si>
    <t>https://legislation.nimonikapp.com/legislations/529254/legislation_texts</t>
  </si>
  <si>
    <t>https://canlii.ca/t/dn59</t>
  </si>
  <si>
    <t>https://laws-lois.justice.gc.ca/fra/reglements/DORS-2016-21/TexteComplet.html</t>
  </si>
  <si>
    <t>Canada–Newfoundland and Labrador Offshore Area Registration Regulations</t>
  </si>
  <si>
    <t>CA-SOR/88-263</t>
  </si>
  <si>
    <t>https://legislation.nimonikapp.com/legislations/529255/legislation_texts</t>
  </si>
  <si>
    <t>https://canlii.ca/t/7zt6</t>
  </si>
  <si>
    <t>1 These Regulations may be cited as the Canada–Newfoundland and Labrador Offshore Area Registration Regulations.
3 The Registrar shall supervise the operation of the system of registration established under Division VIII of Part II of the Act in accordance with that Division and these Regulations.
6 (1) The Registrar shall stamp each document submitted for registration under Division VIII of Part II of the Act with the date and time of its receipt at the office of the Registrar.
(2) The Registrar shall keep a record to be called “the daybook” and, forthwith on receipt of a document submitted for registration, shall record therein in chronological order
(a) the type and date of the document,
(b) the name of the person submitting the document, and
(c) the date and time of receipt of the document at the office of the Registrar.
(3) Where the Registrar refuses to register a document, the Registrar shall forthwith record in the daybook with respect to that document the fact of the refusal.
(4) Where the Registrar accepts a document for registration as an instrument, the Registrar shall forthwith
(a) register the instrument,
(b) make a notation of the registration of the instrument in the abstract of each interest to which the instrument relates, and
(c) record in the daybook with respect to that instrument the fact of the registration.
(5) Where the registration of an instrument is cancelled pursuant to any provision of the Act or these Regulations, the Registrar shall make a notation of the cancellation in each abstract in which a notation of the registration of the instrument appears.
8 (1) Any person may, at the office of the Registrar, inspect the daybook, the register and any copies of any interest or instrument registered under Division VIII of Part II of the Act.
(2) The Registrar shall furnish to the person making the request a certified exact copy of
(a) any interest or instrument registered under Division VIII of Part II of the Act, and
(b) the abstract of any interest.
(3) The Registrar may, for the purposes of subsection (2), certify that an enlarged print made from a microphotographic film or an electronic or magnetic recording of an abstract, interest or instrument is an exact copy of the abstract, interest or instrument.
13 (1) Interest holders shall appoint a representative referred to in subsection 53(1) of the Act by sending a notice of appointment executed by each interest holder to the Registrar.
(2) Where there is a change in the name or address of a representative referred to in subsection (1), the representative shall notify the Registrar forthwith of the change.
(3) If the interest holders terminate the appointment of a representative referred to in subsection 53(1) of the Act, the interest holders shall, without delay, provide the Registrar with a notice of termination, and the termination shall be effective when the notice is received by the Registrar.</t>
  </si>
  <si>
    <t>Natural Resource Management, Privacy and Access to Information, Energy Management, Equipment</t>
  </si>
  <si>
    <t>Signs, Fuse, Magnet, Bin, Presses, Mats, Hose, Energy using equipment, Vises</t>
  </si>
  <si>
    <t>https://laws-lois.justice.gc.ca/eng/regulations/SOR-88-263/FullText.html</t>
  </si>
  <si>
    <t>Règlement sur l’enregistrement des titres et actes relatifs à la zone extracôtière Canada — Terre-Neuve-et-Labrador</t>
  </si>
  <si>
    <t>CA-DORS/88-263</t>
  </si>
  <si>
    <t>https://legislation.nimonikapp.com/legislations/529256/legislation_texts</t>
  </si>
  <si>
    <t>https://canlii.ca/t/cnxj</t>
  </si>
  <si>
    <t>https://laws-lois.justice.gc.ca/fra/reglements/DORS-88-263/TexteComplet.html</t>
  </si>
  <si>
    <t>Newfoundland and Labrador Offshore Area Line Regulations</t>
  </si>
  <si>
    <t>CA-SOR/2003-192</t>
  </si>
  <si>
    <t>https://legislation.nimonikapp.com/legislations/529257/legislation_texts</t>
  </si>
  <si>
    <t>https://canlii.ca/t/7xw7</t>
  </si>
  <si>
    <t>1 For the purposes of paragraph (a) of the definition offshore area in section 2 of the Canada–Newfoundland and Labrador Atlantic Accord Implementation Act, the prescribed line of the offshore area of the province of Newfoundland and Labrador that is adjacent to the offshore area of the province of Nova Scotia, as defined in section 2 of the Canada-Nova Scotia Offshore Petroleum Resources Accord Implementation Act, is the line described in the schedule</t>
  </si>
  <si>
    <t>Natural Resource Management, Safety Management, Equipment, Fines, Penalties and Sanctions</t>
  </si>
  <si>
    <t>Financial Penalty, Hose, Bit</t>
  </si>
  <si>
    <t>https://lois-laws.justice.gc.ca/eng/regulations/SOR-2003-192/FullText.html</t>
  </si>
  <si>
    <t>Règlement sur les limites de la zone extracôtière de Terre-Neuve-et-Labrador</t>
  </si>
  <si>
    <t>CA-DORS/2003-192</t>
  </si>
  <si>
    <t>https://legislation.nimonikapp.com/legislations/529258/legislation_texts</t>
  </si>
  <si>
    <t>https://canlii.ca/t/cn0k</t>
  </si>
  <si>
    <t>https://lois-laws.justice.gc.ca/fra/reglements/DORS-2003-192/TexteComplet.html</t>
  </si>
  <si>
    <t>Hibernia Development Project Offshore Application Regulations</t>
  </si>
  <si>
    <t>CA-SOR/90-774</t>
  </si>
  <si>
    <t>https://legislation.nimonikapp.com/legislations/529259/legislation_texts</t>
  </si>
  <si>
    <t>https://canlii.ca/t/8014</t>
  </si>
  <si>
    <t>1 These Regulations may be cited as the Hibernia Development Project Offshore Application Regulations.
2 The prescribed federal laws in relation to the subjects referred to in subsection 7(1) of the Hibernia Development Project Act are the Acts of Parliament or the provisions thereof set out in Schedule I, any regulations as defined in section 2 of the Interpretation Act that are issued, made or established under the authority of those Acts and any rules of law within the jurisdiction of Parliament in relation to those subjects.
3 (1) For the purpose of creating, continuing and enforcing, under the laws of Newfoundland that apply in the offshore area by virtue of subsection 8(1) of the Hibernia Development Project Act, a security interest in any personal property that is affixed to, rests on or is otherwise in contact with the seabed or subsoil of the submarine areas of the offshore area, those laws shall be read as if that personal property were not a fixture of that seabed or subsoil.
(2) For the purposes of subsection 8(1) of the Hibernia Development Project Act, the Acts of Newfoundland set out in column I of an item of Schedule II shall be read as if they were modified or added to in the manner and to the extent set out in column II of that item.</t>
  </si>
  <si>
    <t>Financial Administration, Accounting, Charges, Natural Resource Management, Equipment, Fines, Penalties and Sanctions</t>
  </si>
  <si>
    <t>Signs, Financial Penalty, Presses, Fixtures, Hose, Ropes</t>
  </si>
  <si>
    <t>https://lois-laws.justice.gc.ca/eng/regulations/SOR-90-774/FullText.html</t>
  </si>
  <si>
    <t>Règlement sur l’application des lois fédérales et terre-neuviennes à la zone extracôtière (Hibernia)</t>
  </si>
  <si>
    <t>CA-DORS/90-774</t>
  </si>
  <si>
    <t>https://legislation.nimonikapp.com/legislations/529260/legislation_texts</t>
  </si>
  <si>
    <t>https://canlii.ca/t/cp4g</t>
  </si>
  <si>
    <t>https://lois-laws.justice.gc.ca/fra/reglements/DORS-90-774/TexteComplet.html</t>
  </si>
  <si>
    <t>Fees and Rentals Regulations</t>
  </si>
  <si>
    <t>CA-PE-PEIRegEC673/96</t>
  </si>
  <si>
    <t>https://canlii.ca/t/8dr6</t>
  </si>
  <si>
    <t>1. Fees
The following fees and rentals, payable annually to the Minister, are prescribed
geophysical license (including renewal) ..........$25
well authorization ............................................$25
rig license ........................................................$25
permit rental ................................................... $0.10 per acre ($0.24 per hectare)
lease rental......................................................$1.00 per acre ($2.47 per hectare)</t>
  </si>
  <si>
    <t>https://www.princeedwardisland.ca/sites/default/files/legislation/O%2605F-Oil%20and%20Natural%20Gas%20Act%20Fees%20and%20Rentals%20Regulations.pdf</t>
  </si>
  <si>
    <t>Forms Regulations</t>
  </si>
  <si>
    <t>CA-PE-PEIRegEC674/96</t>
  </si>
  <si>
    <t>https://legislation.nimonikapp.com/legislations/529406/legislation_texts</t>
  </si>
  <si>
    <t>https://canlii.ca/t/8djm</t>
  </si>
  <si>
    <t>1. Forms
The following forms are prescribed as set out in the Schedule:
Form 1 section 32 Application for Permit
Form 2 sections 33, 34 Work Plan Details and Estimates
Form 3 section 38 Application for Permit Renewal
Form 4 section 38 Affidavit of Expenditures
Form 5 section 47 Application for Lease
Form 6 section 67 Application for Well Authorization
Form 7 section 76 Application for a Rig License
[To consult the Schedule, please visit: https://canlii.ca/t/8djm].</t>
  </si>
  <si>
    <t>Signs, Financial Penalty, Balance, Derrick, Mats, Davits, Pens, Drill</t>
  </si>
  <si>
    <t>https://www.princeedwardisland.ca/sites/default/files/legislation/O%2605-1-Oil%20and%20Natural%20Gas%20Act%20Forms%20Regulations.pdf</t>
  </si>
  <si>
    <t>Permit, Lease and Survey System Regulations</t>
  </si>
  <si>
    <t>CA-PE-PEIRegEC689/00</t>
  </si>
  <si>
    <t>https://legislation.nimonikapp.com/legislations/529407/legislation_texts</t>
  </si>
  <si>
    <t>https://canlii.ca/t/8dp8</t>
  </si>
  <si>
    <t>1. Definitions
(1) In these regulations
(a) “Act” means the Oil and Natural Gas Act R.S.P.E.I. 1988, Cap. O-5,
(b) “anniversary date” means the annual return of the date on which a permit or lease was issued,
(c) “bid” means a proposal for exploration or development of provincial lands for oil or natural gas, that was submitted in response to a call for bids,
(d) “call for bids” means a request by the Minister for bids on a permit to conduct exploration or development of provincial lands for oil or natural gas,
(e) “offshore” means the seabed and the subsoil off the shore of the land mass of the province to the limits of the sovereignty of the government of Prince Edward Island and to such limits as may be determined by federal provincial agreement,
(f) “onshore” means the land mass of the province,
(g) “vacant”, in relation to lands, means provincial lands that are not subject to a permit, lease or geophysical license under the Act.
Compliance with applicable laws
(2) Lessees, permitees and bidders shall comply with the Act, the regulations and all other applicable federal or provincial laws and regulations
3. Information on bid
A bid for an oil and natural gas permit shall be on the prescribed form and include the following information:
(a) the type of work proposed by the bidder, including geological work, geophysical exploration, exploratory drilling and other activities specified in the call for bids or proposed by the bidder,
(b) a description of the work plan and the time period in which it is to be carried out,
(c) the monetary value of the work plan, and
(d) any other information specified by the Minister in the call for bids
9. Permitee to complete work, comply with permit
(1) A permitee shall complete the work described in the work plan which is described in the permit and shall comply with and fulfil all of the terms and conditions of the permit.
13. No well within 500m, onshore
(1) No person shall drill an exploratory well within 500 metres of the boundary of an onshore permit.
15. No gas, oil production without lease
(1) Except as provided in section 94 of the Act, no person shall produce any oil or natural gas from an onshore well, without a lease of the oil and natural gas rights issued for the area in which the well is located, issued in accordance with the Act or these regulations.</t>
  </si>
  <si>
    <t>Chairs, Financial Penalty, Mats, Ducts, Sanction, Violation, Criminal Charge, Cap, Ropes, Tables, Parallels, Bit, Pens, Drill, Pins</t>
  </si>
  <si>
    <t>https://www.princeedwardisland.ca/sites/default/files/legislation/O%2605-3-Oil%20and%20Natural%20Gas%20Act%20Permit%2C%20Lease%20and%20Survey%20System%20Regulations.pdf</t>
  </si>
  <si>
    <t>Royalties Order</t>
  </si>
  <si>
    <t>CA-PE-PEIRegEC537/85</t>
  </si>
  <si>
    <t>https://legislation.nimonikapp.com/legislations/529408/legislation_texts</t>
  </si>
  <si>
    <t>https://canlii.ca/t/8dkt</t>
  </si>
  <si>
    <t>1. Royalty on oil
(1) Subject to section 4, the lessee shall pay to the Minister, for each month that the land covered by the lease is producing oil, a royalty consisting of a percentage of the oil obtained from each well as specified in Schedule A.
Manner of payment
(2) Any sale of oil from a lease area shall include the royalty share belonging to the Minister, and, by the twenty-fifth day of the month following each quarterly period of each year that the lease is in effect, the lessee shall pay the Minister an amount equal to the royalty share sold in the name of the Minister.
2. Royalty on gas
(1) Subject to section 4, the royalty on natural gas shall be ten percentum of the selling price or fair market value at the time and place of production, and, by the twenty-fifth day of the month following each quarterly period of each year that the lease is in force, the lessee shall account to, and pay to, the Minister the royalty on natural gas accumulated during that period.
4. Exceptions
No royalty is payable for oil or natural gas that is
(a) consumed by the lessee in direct connection with development work on the lease area,
(b) returned to a formation, or
(c) flared.</t>
  </si>
  <si>
    <t>https://www.princeedwardisland.ca/sites/default/files/legislation/O%2605-4-Royalties%20Order%20Regulations.pdf</t>
  </si>
  <si>
    <t>Mineral Resources Act</t>
  </si>
  <si>
    <t>CA-PE-RSPEI1988,cM-7</t>
  </si>
  <si>
    <t>oil_and_gas, mining_and_minerals_industry, public_administration_and_institutions</t>
  </si>
  <si>
    <t>https://legislation.nimonikapp.com/legislations/534824/legislation_texts</t>
  </si>
  <si>
    <t>https://canlii.ca/t/8dbt</t>
  </si>
  <si>
    <t>2, Minerals vested in Crown
All minerals existing or which may be found within, upon or under lands in the province are
vested in the Crown in right of the province.
Records open to public
(3) The Registrar shall keep at the office such books and plans for the recording therein of
mineral rights and documents affecting such rights as may be directed by the Minister, and
the books and plans shall be open for inspection by any interested person during office hours
on payment of the prescribed fee.
11. Filing of memorandum
Every person shall within fifteen days of application for a mineral right file in the office of
the Registrar a memorandum setting forth the following information:
(a) if an individual
(i) his name,
(ii) his address in the province, and
(iii) his address outside of the province, if any,
(b) if a partnership
(i) the name of partnership,
(ii) the names of all partners,
(iii) the addresses of all partners in the province,
(iv) the addresses of all partners outside the province, if any, and
(v) the name and address of the recognized agent of the partnership, and
(c) if a body corporate
(i) the name of the corporation,
(ii) the name and address of the president, secretary, other officers, and directors
of the corporation,
(iii) the mode of incorporation,
(iv) the date of incorporation,
(v) the location of the head office,
(vi) the name and address of the recognized agent of the corporation, and
(vii) the principal office of the corporation in the province. 1978, c.15, s.11.
17. Rights granted by license
A license shall entitle the holder thereof to search and prospect for minerals within the claim
or tract to which the license applies, except as herein provided, and subject to the rights of the
owner of the land covered by the license. 1978, c.15, s.17.
25. Form of license
(1) A license shall be in the prescribed form, and shall be subject to the rights of the owner of the
land covered by the license.
License to specify area, etc.
(2) A license shall specify the area, claims or tracts as designated in accordance with section 10
on the official maps of the Department.
License to include not more than eighty claims
(3) A license may include any number of contiguous claims not exceeding eighty but no license
shall be granted for less than a full claim.</t>
  </si>
  <si>
    <t>Natural Resource Management, Environment Management, Land Use, Equipment, Fines, Penalties and Sanctions</t>
  </si>
  <si>
    <t>Financial Penalty, Tender, Files, Sanction, Violation, Criminal Charge, Pans, Pens</t>
  </si>
  <si>
    <t>https://www.princeedwardisland.ca/sites/default/files/legislation/m-07-mineral_resources_act.pdf</t>
  </si>
  <si>
    <t>Work Requirements Regulations</t>
  </si>
  <si>
    <t>CA-PE-PEIRegEC1064/78</t>
  </si>
  <si>
    <t>https://legislation.nimonikapp.com/legislations/534843/legislation_texts</t>
  </si>
  <si>
    <t>https://canlii.ca/t/8drf</t>
  </si>
  <si>
    <t>1. Work 
(1) Subject to sections 2, 3 and 4, the following activities shall be accepted by the Minister as constituting work for the purposes of these regulations, namely, prospecting, drilling, surveying, geological, geophysical or geochemical surveys and special work such as the use of bulldozers and other mechanical equipment.
2. Costs 
Costs will be accepted only in respect of costs, fees, salaries and wages for work performed on the ground or in proving the value of a mineral deposit and payment thereof must be at a rate satisfactory to the Minister. (EC1064/78) 
Excess work 
(2) Excess work done in any year by the holder of an exploration license may be credited ahead and the exploration proposal submitted for the next year may be reduced accordingly. (EC1064/78)
 10. Conduct of surveys All geological, geophysical and geochemical surveys performed for the purpose of obtaining credit as work shall be conducted under the supervision of a geologist, geophysicist or engineer having qualifications acceptable to the Department. (EC1064/78)</t>
  </si>
  <si>
    <t>Natural Resource Management, Privacy and Access to Information</t>
  </si>
  <si>
    <t>https://www.princeedwardisland.ca/sites/default/files/legislation/M%2607-Mineral%20Resources%20Act%20Work%20Requirements%20Regulations.pdf</t>
  </si>
  <si>
    <t>Terra Nova Development Project Exemption Order</t>
  </si>
  <si>
    <t>CA-NL-NLR37/96</t>
  </si>
  <si>
    <t>https://legislation.nimonikapp.com/legislations/534891/legislation_texts</t>
  </si>
  <si>
    <t>https://canlii.ca/t/8cs5</t>
  </si>
  <si>
    <t>Exemption declared
 2. The Terra Nova Development Project, as described in the Terra Nova Development Plan Application, DPA, to develop and exploit the petroleum resources of the Terra Nova Oilfield, located some 350 kilometres southeast of St. John's, Newfoundland and Labrador, is exempted from the Environmental Assessment Act .
Memorandum of understanding
 4. (1) A memorandum of understanding, MOU, concerning environmental assessment of the Terra Nova Development Project has been concluded among the relevant departments and agencies of the federal and provincial governments and the Canada-Newfoundland and Labrador Offshore Petroleum Board.
 (2) The MOU provides for a single environmental assessment which meets the decision making requirements of all parties.
 (3) The joint environmental assessment referred to in subsection (2) eliminates the possibility of duplicative and costly environmental assessments of the same project, potentially jeopardizing the project, which is clearly not in the public interest.</t>
  </si>
  <si>
    <t>Financial Penalty, Regulator, Sanction, Violation, Criminal Charge, Hose, Cap, Tags, Pens</t>
  </si>
  <si>
    <t>https://www.assembly.nl.ca/Legislation/sr/regulations/rc969037.htm</t>
  </si>
  <si>
    <t>https://legislation.nimonikapp.com/legislations/541640/legislation_texts</t>
  </si>
  <si>
    <t>https://www.leg.bc.ca/content/data%20-%20ldp/Pages/42nd3rd/1st_read/gov37-1.htm</t>
  </si>
  <si>
    <t>The Government of British Columbia has announced its intention to update the regulatory framework for energy production. The changes would rename the British Columbia Oil and Gas Commission (BCOGC) as the British Columbia Energy Regulator (BCER) and would notably:
- make certain energy production rules apply to the production of hydrogen and clarify which energy resource activities are exempted from those rules,
- clarify that those rules apply to carbon capture and storage, and
- expand responsibilities for orphan sites to a broader range of stakeholders.
The changes would be made by enacting broad revisions to the Oil and Gas Activities Act (SBC2008,c36) and the Petroleum and Natural Gas (SBC1996,c361). Consequential amendments would also be made to many other documents to update the commission's name.</t>
  </si>
  <si>
    <t>https://legislation.nimonikapp.com/legislations/543599/legislation_texts</t>
  </si>
  <si>
    <t>https://ero.ontario.ca/notice/019-6296</t>
  </si>
  <si>
    <t>The Ministry of Natural Resources and Forestry is seeking feedback on its intention to enable geologic carbon storage in the province. According to the government, the changes would be implemented in several phases throughout the coming years. The changes in this first phase would notably allow entities to conduct geologic carbon sequestration activities.
This change would be implemented by amending the Oil, Gas and Salt Resources Act (RSO1990,cP.12).
Interested persons are invited to make comments until 9 January 2023.
Additional information is available &lt;a href="https://www.ontario.ca/page/geologic-carbon-storage" target="_blank"&gt;here&lt;/a&gt;.</t>
  </si>
  <si>
    <t>oil_and_gas, other</t>
  </si>
  <si>
    <t>https://legislation.nimonikapp.com/legislations/544868/legislation_texts</t>
  </si>
  <si>
    <t>https://static.aer.ca/prd/documents/manuals/Manual023.pdf</t>
  </si>
  <si>
    <t>2 Holistic Licensee Assessment
As outlined in Directive 088, the holistic assessment includes multiple factors. The licensee capability assessment (LCA) is a critical one. Additional factors are outlined in section 4.5 of Directive 067, and the AER may consider any other factors that would be appropriate in the circumstance. These factors include other inspection, audit, or compliance elements not included in the LCA and information provided to the AER through complaints. Section 4.2 outlines other factors that may be considered related to transfer applications. 
3.1 Closure Spend Target Overview
Closure spend targets are part of the Inventory Reduction Program. A significant portion of industry inactive liabilities are not being sufficiently managed. Closure spend targets will create a minimum obligation for all licensees to abandon, remediate, and reclaim their oil and gas sites. 
Liability associated with inactive wells and facilities are used to determine closure targets. Licensees can refer to the following sources to view the life cycle status of their assets:
• A list of inactive wells is available through the Inactive Well Licence List report available on the Directive 013: Suspension Requirements for Wells webpage.
• A list of all inactive facilities is available in OneStop.
Inactive liability is estimated using Directive 011: Licensee Liability Rating (LLR) Program: Updated Industry Parameters and Liability Costs and site-specific liability assessments for sites with an inactive life cycle status.
The industry-wide closure spend target is based on inactive liability and historical closure spending for previous years. The industry-wide target and forecasts for the next five years are available on the AER website and are updated annually. 
4.1 Applications
There are two types of licence transfer applications that can be submitted to the AER:
• Applications to transfer licences between licensees are submitted by both parties through the designated information submission system.
• Applications to transfer licences that are part of an insolvency proceeding or a company that is under the care of the Orphan Well Association are facilitated by the AER in a process referred to as a regulator-directed transfer (RDT). Contact Directive088Transfers@aer.ca to initiate an RDT application.
Licences statuses that are eligible to be included in a licence transfer application are provided in Directive 088. Previously, reclamation certified and reclamation exempt licences could not be part of a transfer application. This has now changed, and the AER may apply discretion to require licensees to include the transfer of reclamation certified and reclamation exempt licences that are part of an insolvency proceeding, corporate clean out, or white map sales transaction, for example. The AER encourages licensees to contact the AER to discuss their specific circumstances with respect to reclamation certified and reclamation exempt licences.
Once registered in the designated information submission system, a licence transfer application is posted on the Public Notice of Application tool. A decision on the application will not be issued until the period for filing a statement of concern, as specified in the public notice of application, has lapsed.</t>
  </si>
  <si>
    <t>Environment Management, Natural Resource Management, Financial Administration, Accounting, Charges, Fines, Penalties and Sanctions, Energy Management, Equipment</t>
  </si>
  <si>
    <t>Scale, Handles, Energy using equipment, Balance, Scales, Tables, Cap, Plugs, Files, Level, Lights, Sanction, Violation, Criminal Charge, Financial Penalty, Regulator, Telephones</t>
  </si>
  <si>
    <t>https://www.aer.ca/regulating-development/rules-and-directives/manuals</t>
  </si>
  <si>
    <t>Directive on use of approvals to allow riverbed armouring to provide scour protection for pipelines</t>
  </si>
  <si>
    <t>CA-AB-AEP-WC/2018No.1</t>
  </si>
  <si>
    <t>https://legislation.nimonikapp.com/legislations/544869/legislation_texts</t>
  </si>
  <si>
    <t>https://open.alberta.ca/dataset/308ebbe4-b00e-45b5-bc2a-3190c236bb0f/resource/48617178-1d10-4e51-a44c-b4d923962834/download/directiveriverbedarmouring-feb16-2018.pdf</t>
  </si>
  <si>
    <t>Purpose
This Directive establishes the policy and identifies the circumstances under which Alberta Environment and Parks (AEP or the Department) or the Alberta Energy Regulator (AER) will consider applications for riverbed armouring of pipelines that do not meet scour depth requirements under the Code of Practice for Pipelines and Telecommunication Lines Crossing a Water Body (the Code). The policy intent is to provide some flexibility for pipelines installed prior to the adoption of the Code while maintaining public safety and minimizing ecological risk.
Policy Approach
The policy approach will be that:
• Any pipeline constructed/installed pursuant to the Code must continue to meet all requirements of the Code. As such, all activities must be commenced, continued, and carried out in accordance with the Code.
• If specified criteria are met, the AEP and the AER will allow pipeline operators to apply for an approval under the Water Act in order to use riverbed armouring.
• The applicant will be required to undertake risk assessments and mitigative action to address those risks.
• The approval term, if granted, will be for up to 10 years subject to terms and conditions.
A. Basic Information Required in Application
The standard application form for activities regulated under the Water Act requires a detailed description, including location of works and activities, relating to the project. Applicants for these projects will also be required to provide the following information in their riverbed armouring project description:
• Regulator of the Pipeline (AER, NEB, etc.)
• License and line number of the pipeline(s). If multiple licensees in a common pipeline corridor please state
• Legal land description of works and name of water body if named.
• Substance(s) carried by pipeline
• Age and size of the pipeline at the water crossing
• Integrity and expected life of the pipeline
• Design and engineering of proposed armouring project
• Information respecting other relevant works in waterbody
• Information about the size and flow of the water body
• Distance between ordinary high water mark to ordinary high water mark</t>
  </si>
  <si>
    <t>Security and Public Safety, Water Use and Wastewater Management, Environment Management, Wildlife and Land Conservation, Fines, Penalties and Sanctions, Energy Management, Equipment</t>
  </si>
  <si>
    <t>Energy using equipment, Level, Financial Penalty, Regulator</t>
  </si>
  <si>
    <t>https://open.alberta.ca/publications/directive-on-use-of-approvals-to-allow-riverbed-armouring-to-provide-scour-protection-for-pipelines</t>
  </si>
  <si>
    <t>EPAP Operator’s Handbook</t>
  </si>
  <si>
    <t>CA-AB-EPAP-OH</t>
  </si>
  <si>
    <t>https://legislation.nimonikapp.com/legislations/544870/legislation_texts</t>
  </si>
  <si>
    <t>https://static.aer.ca/prd/documents/enforcement/EPAP_OperatorsHandbook.pdf</t>
  </si>
  <si>
    <t>1 Executive Summary
The Energy Resources Conservation Board (ERCB) has created the Enhanced Production Audit Program (EPAP) to raise the level of assurance over compliance with the ERCB measurement and reporting requirements, and to raise the level of compliance with these
requirements. 
EPAP has been implemented through Directive 76: Operator Declaration Regarding Measurement and Reporting Requirements. This directive applies to all operators subject to ERCB measurement and reporting requirements and reporting to the Petroleum Registry of Alberta (PRA). This directive applies to conventional oil, heavy oil, crude bitumen and natural gas facilities, but not mineable oil sands. 
Through EPAP, the ERCB aims to reduce its reliance on substantive audits in favour of relying on the effectiveness of each operator’s controls over ERCB measurement and reporting requirements. A key aspect of EPAP is that each operator is to submit a formal Declaration regarding the operating effectiveness of their controls in addressing the risk of noncompliance. 
This EPAP Operator’s Handbook is designed to provide assistance to operators in implementing and operating EPAP, including designing and evaluating controls, using and interpreting the Compliance Assessment reports, responding to Action Items, and making the annual Declaration.
1.1 Operator Declaration
EPAP requires that each operator’s senior executives declare annually as to the state of their infrastructure (i.e. controls) ensuring compliance with ERCB measurement and reporting requirements. The Declaration includes reporting on the existence (or absence) of controls, the extent to which controls have been evaluated, and the degree to which controls have been found to be effective.
Operators are expected to maintain sufficient documentation to support their design and evaluation of controls. While this documentation does not form part of the annual Declaration, it may be requested by the ERCB at any time. 
2 Introduction
The Energy Resources Conservation Board (ERCB) has changed the process for auditing oil and natural gas data submitted by operators in the Province of Alberta to meet measurement and reporting requirements. The new audit program is called the Enhanced Production Audit Program (EPAP).
EPAP has been designed to take advantage of current audit best practices and to make the process of auditing an operator’s measurement and reporting practices more cost-effective and sustainable for both the ERCB and the industry.
EPAP has been implemented through Directive 76: Operator Declaration Regarding Measurement and Reporting Requirements. This directive applies to all operators subject to ERCB measurement and reporting requirements and reporting to the Petroleum Registry of Alberta (PRA). This directive applies to conventional oil, heavy oil, crude bitumen and natural gas facilities, but not to mineable oil sands.
EPAP is administered at the ERCB by the Production Audit Team (PAT). 
2.3 What’s in this Handbook?
To support operators’ efforts to comply with the requirements of Directive 76: Operator Declaration Regarding Measurement and Reporting Requirement, the EPAP Operator’s Handbook includes such topics as the following
1) The expectations of the ERCB with regards to the level of assurance over compliance with ERCB measurement and reporting requirements, as well as definitions of
• reasonableness – what constitutes reasonable efforts in implementing controls over ERCB measurement and reporting requirements?
• materiality – whether materiality is applied in implementing controls over ERCB measurement and reporting requirements?
• scope – what is in scope when implementing controls?
2) What to consider in designing controls, including
• how to identify risks associated with ERCB measurement and reporting requirements,
• how to determine if a risk should be addressed through a company-level control, operating area-level or a facility-level control,
• how to design controls to mitigate identified risks, and
• how to identify and mitigate residual risks.
3) How to evaluate the effectiveness of controls, including
• a definition of ERCB expectations for the evaluation’s depth and breadth and for the persons responsible for performing it,
• planning and conducting an evaluation,
• using different evaluation tools, and
• relevant examples to serve as a guide.
4) How to maintain the design of controls to ensure their continued effectiveness in addressing risk of noncompliance relating to ERCB measurement and reporting requirements.
5) How to implement EPAP, and use it for continuous improvement, year after year.
6) How to interpret and use the Compliance Assessment reports to identify and track issues.
7) How to make your annual Declaration.</t>
  </si>
  <si>
    <t>Environment Management, Natural Resource Management, Privacy and Access to Information, Energy Management, Equipment, Fines, Penalties and Sanctions</t>
  </si>
  <si>
    <t>Tank, Scale, Signs, Screen, Cap, Files, Indicators, Financial Penalty, Telephones, Energy using equipment, Reservoirs, Scales, Labels, Tables, Level, Sanction, Violation, Criminal Charge, Regulator</t>
  </si>
  <si>
    <t>https://www.aer.ca/regulating-development/compliance/inspections-and-audits/epap/epap-references-resources</t>
  </si>
  <si>
    <t>Directive PNG014: Incident Reporting Requirements</t>
  </si>
  <si>
    <t>CA-SK-PNG014</t>
  </si>
  <si>
    <t>https://legislation.nimonikapp.com/legislations/544871/legislation_texts</t>
  </si>
  <si>
    <t>https://publications.saskatchewan.ca/api/v1/products/76167/formats/85293/download</t>
  </si>
  <si>
    <t>1. Introduction
This Directive sets out the requirements of the Saskatchewan Ministry of Energy and Resources (ER) for regulating the reporting of spills and other incidents in relation to wells, facilities, flowlines and pipelines. It provides a listing of what constitutes a reportable incident and details of when and how an incident should be reported.
2.2 Incident Response Process
An operator must carry out the following actions in relation to any of the listed incidents:
1. NOTIFY ER in accordance with the requirements of this Directive,
2. ACTIVATE its ERP where required and take immediate steps to resolve the incident,
3. REMEDIATE or, where necessary, reclaim the affected area to the satisfaction of ER officials, and,
4. SUBMIT detailed information and reports in the Integrated Resource Information System (IRIS) on the incident and the actions taken to resolve the matter.
3.1 Immediate Telephone Notification by Operator
An operator is required to immediately notify ER’s Emergency Support line at 1-844-764-3637 of the discovery of any incident listed in Appendix 1 except for the following types of incidents:
- Contact damage to a flowline or pipeline that does not result in a break or leak, or
- Any on-lease release of oil, condensate, emulsion or salt water that is less than 10.0 m3.
On-lease releases or contact damage that are exempt from immediate telephone notification still require ER notification using IRIS in accordance with section 3.2.</t>
  </si>
  <si>
    <t>Environment Management, Natural Resource Management, Fines, Penalties and Sanctions, Energy Management, Equipment</t>
  </si>
  <si>
    <t>Tank, Desks, Energy using equipment, Trucks, Shaft, Tables, Berm, Sanction, Violation, Criminal Charge, Financial Penalty, Telephones</t>
  </si>
  <si>
    <t>https://publications.saskatchewan.ca/#/products/76167</t>
  </si>
  <si>
    <t>https://publications.saskatchewan.ca/#/categories/5568</t>
  </si>
  <si>
    <t>Directive PNG016: Acknowledgement of Reclamation Requirements</t>
  </si>
  <si>
    <t>CA-SK-PNG016</t>
  </si>
  <si>
    <t>https://legislation.nimonikapp.com/legislations/544872/legislation_texts</t>
  </si>
  <si>
    <t>https://publications.saskatchewan.ca/api/v1/products/76263/formats/86031/download</t>
  </si>
  <si>
    <t>1. Overview
This document is intended to provide clarification of the existing regulations and reclamation submission requirements overseen by the Ministry of Energy and Resources (ER). Effective June 19, 2007, The Oil and Gas Conservation Regulations, 1985 were amended to
require that upon abandonment of a well or decommissioning of a facility, the respective site is to be assessed, decommissioned and reclaimed and the licensee is to submit a report which substantiates the satisfactory reclamation of the site. The application for Acknowledgement of Reclamation (AOR) serves as the report.
Under the AOR Program, there are four types of applications available to licensees seeking to satisfy their reclamation obligations for their well and facility sites:
- Acknowledgement of Reclamation - For sites reclaimed in accordance with The Oil and Gas Conservation Regulations, 2012 (OGCR),
- Grandfathered Reclamation Release - For sites that were reclaimed before the implementation of the AOR Program on June 19, 2007.
- Full Exemption from Reclamation (fully overlapping activity) – For sites where reclamation is prevented due to full overlapping well or facility activities on the land area,
- Partial Exemption from Reclamation (partially overlapping activity) – For sites where reclamation is prevented due to partial overlapping well or facility activities on the land area.
Licensees can obtain a list of wells and facilities that are subject to the AOR Program by viewing the LLR Well List or LLR Facility List available through IRIS or on www.saskatchewan.ca. By applying the following selection criteria to the Lists a licensee can determine their wells or facilities with outstanding reclamation obligations.
- Select the licensee’s name from the Operator Name column
- Set the Well Status column to ‘cancelled’ or ‘abandoned’ (i.e. cut and capped for a well)
AND
- Set the Grandfathered Reclamation Release column to blank AND
- Set the Acknowledgment of Reclamation (AOR) column to blank AND
- Set the Exemption from Reclamation column to blank or contains a “P”.
2. Scope of the Acknowledgement of Reclamation Program
Pursuant to subsection 56(5) of the OGCR, an application for AOR must be submitted for any well or facility site in which reclamation has not been completed prior to June 19, 2007.
A “site” as defined in the OGCR includes the access road and is not limited to the extent of the leased area. Furthermore, clauses 56(1)(d), 56(2)(d) and 56(3)(d) of the OGCR require reclamation of any area beyond the site boundary that has been damaged, contaminated or otherwise adversely affected by the operations of the well or facility.
“Reclamation” is defined in the OGCR but for the purposes of this Directive also includes decommissioning a site to remove surface infrastructure, equipment, machinery, concrete, refuse and materials.
An “improvement” is defined as any features to remain in place after reclamation. These include, but are not limited to fences, field access points through ditches, culverts, lease roads and lease pads.
The licensee is expected to return the site as reasonably close to the conditions that existed prior to the time the well/facility operation was commenced or to reasonably close to conditions of the land directly adjacent. Therefore the licensee shall:
- Remove all refuse material from the site and access,
- Drain and fill all excavations,
- Remove equipment and machinery, if applicable,
- Remove all surface infrastructure associated with the well/facility site, this includes but is not limited to: overhead power lines, culverts, fences, access roads, trails, above/below ground storage tanks, cement pads, water wells, borrow pits, etc., and
- Level the surface to blend with the surrounding drainage/contours</t>
  </si>
  <si>
    <t>Tank, Desks, Signs, Trucks, Energy using equipment, Labels, Gate, Tables, Cap, Level, Files, Sanction, Violation, Criminal Charge, Financial Penalty, Drill, Bearings</t>
  </si>
  <si>
    <t>https://publications.saskatchewan.ca/#/products/76263</t>
  </si>
  <si>
    <t>Directive PNG018: Detailed Site Assessment Requirements</t>
  </si>
  <si>
    <t>CA-SK-PNG018</t>
  </si>
  <si>
    <t>https://legislation.nimonikapp.com/legislations/544873/legislation_texts</t>
  </si>
  <si>
    <t>https://publications.saskatchewan.ca/api/v1/products/76265/formats/85486/download</t>
  </si>
  <si>
    <t>1. Introduction
As per The Oil and Gas Conservation Regulations, 2012 (OGCR), upon abandonment of a well or decommissioning of a facility the licensee must undertake activities that will result in reclamation of the associated site.
Note that “reclamation” as defined in section 2(jj) of the OGCR, includes two objectives:
1) Decontamination and remediation of the site which includes: excavating, removing, sequestrating, encapsulating, immobilizing, attenuating, degrading, processing or treating the contaminants in the soil or water in a manner so that, in the opinion of the minister, the contaminants no longer pose a threat or risk to human health, public safety, property or the environment, and
2) Re-contouring and restoration of the site which includes: landscaping, replacing or replenishing the topsoil and re-vegetating the surface of the soil so that it is compatible with its surroundings.
The focus of this document is with respect to the second part of the reclamation definition or the physical restoration of the site once it has been decontaminated and remediated. This document establishes the Detailed Site Assessment (DSA) requirements, to be used by the third party consultants, within Saskatchewan as set out by the Ministry of Energy and Resources (ER) under the Acknowledgement of Reclamation (AOR) Program. As part of the AOR application the third party consultant is required to complete the DSA Form (available on Saskatchewan.ca) to provided evidence that the site meets the criteria requirements in this Directive. An example of a completed DSA Form is provided in Appendix B.
As mentioned in the AOR Requirements Directive, a passing DSA is a required component of the AOR application within Saskatchewan. The licensee is expected, within reason, to work with the landowner towards a solution for issues that may exist, until a passing DSA is achieved. 
1.2 Governing Legislation
The requirements outlined in this Directive are based on The Oil and Gas Conservation Act (OGCA) and the OGCR. Licensees should consult these documents in conjunction with this Directive.
It is the responsibility of all licensees, as specified in the legislation, to be aware of and to ensure compliance with these requirements through the life cycle of any well or facility licensed in Saskatchewan
2.1.2 Controls
In the evaluation of the assessment criteria (landscape, soil, vegetation) the data and observations collected should be compared to suitably selected control locations on adjacent or surrounding lands. Care should be taken when selecting these locations to ensure that they are representative of the average conditions that exist on the surrounding lands with respect to the various evaluation criteria. In particular, the quantity and quality of vegetation may be used as a primary indicator for determining the suitability of control locations.
A minimum of eight control sites (two on each side of the disturbed area) must be assessed to provide comparisons for the disturbed area (100 m x 100 m lease situation). In some cases, eight control sites may not adequately represent the natural variability of the surrounding lands and the third party consultant must use their professional judgement. Where control site characteristics vary significantly, the third party consultant may use relevant controls to represent portions of the site. It must be clearly documented which controls represent which assessment points.
Minimum control requirements for different lease sizes:
- If the lease is &lt; 40 m x 40 m, then 3 control points should be used.
- If the lease is 40 m x 40 m, then 3 control points should be used.
- If the lease is 80 m x 80 m, then 4 control points should be used.
- If the lease is 110 m x 110 m, then 8 control points should be used.
- If the lease is &gt; 120 m x 120 m, then a minimum of 8 control points should be used.
- If the lease is &gt; 150 m x 150 m, then a minimum of 16 control points should be used.
Controls can be averaged to determine required replacement depth. If controls are variable, relevant controls can be compared to portions of the lease. Highlight the portion of the lease each control represents on the DSA Sketch (as shown in Figure 2). If controls are highly variable and the Minimum Replacement Depth (MRD) cannot be achieved, the third party consultant may qualify results based on control variability. Figure 3 shows a generic control situation that is most common for most upstream oil and gas sites in Saskatchewan.</t>
  </si>
  <si>
    <t>Environment Management, Natural Resource Management, Wildlife and Land Conservation, Equipment</t>
  </si>
  <si>
    <t>Tank, Tissues, Mats, Vehicle, Squares, Tables, Level, Brushes, Indicators, Lights, Drill, Sieves</t>
  </si>
  <si>
    <t>https://publications.saskatchewan.ca/#/products/76265</t>
  </si>
  <si>
    <t>Directive PNG025: Licensee Liability Rating (LLR) Program</t>
  </si>
  <si>
    <t>CA-SK-PNG025</t>
  </si>
  <si>
    <t>https://legislation.nimonikapp.com/legislations/544874/legislation_texts</t>
  </si>
  <si>
    <t>https://publications.saskatchewan.ca/api/v1/products/87486/formats/104148/download</t>
  </si>
  <si>
    <t>1. Introduction
The Licensee Liability Rating (LLR) Program assesses the financial risk that a licensee’s unfunded well and facility liability poses to the Saskatchewan Oil and Gas Orphan Fund (SOGOF). The Ministry of Energy and Resources (ER) manages the financial risk through the collection of security deposits to ensure the Orphan Fund Procurement Program has the funds available to carry out the abandonment and reclamation work when a licensee or working interest owner is defunct.
This Directive is intended to provide clarification on the policies and procedures used by ER to determine a Licensee’s Liability Rating and security deposit requirements under the LLR Program.
The fees (security deposit, orphan fund fee, and orphan levy) under the LLR Program are only applicable to oil and gas producers. Therefore, any licensee holding well and facility licences for purposes other than oil and gas production (such as potash mining, storage facilities, or waste facilities) would be exempt from these fees.
3. Reports
ER produces a number of reports with respect to the LLR Program to aid in evaluating each licensee’s LLR to help predict and prevent financial risk to the SOGOF.
To increase transparency of the LLR Program, the reports are made available to the public where possible. However, information specific to the licensee (related to security deposits and the deemed asset and liability associated with a particular licence) remains confidential to ER and a given licensee.
5. Liability Reduction
A licensee may be eligible to reduce the abandonment and/or reclamation liability associated with a well or facility licence assigned under the LLR Program. The following sections provide potential options for liability reduction which licensees may consider, where applicable</t>
  </si>
  <si>
    <t>Environment Management, Natural Resource Management, Privacy and Access to Information, Fines, Penalties and Sanctions, Energy Management, Equipment</t>
  </si>
  <si>
    <t>Desks, Tubing, Energy efficiency and saving, Balance, Regulator, Tables, Cap, Level, Files, Sanction, Violation, Criminal Charge, Financial Penalty, Bench</t>
  </si>
  <si>
    <t>https://publications.saskatchewan.ca/#/products/87486</t>
  </si>
  <si>
    <t>Directive PNG031: Site Specific Liability Assessment</t>
  </si>
  <si>
    <t>CA-SK-PNG031</t>
  </si>
  <si>
    <t>https://legislation.nimonikapp.com/legislations/544875/legislation_texts</t>
  </si>
  <si>
    <t>https://publications.saskatchewan.ca/api/v1/products/100517/formats/110970/download</t>
  </si>
  <si>
    <t>1. Introduction
The purpose of this Directive is to set out the requirements for Site Specific Liability Assessments (SSLA) and is intended to improve the consistency and accuracy of reclamation liability cost estimates submitted to the Ministry of Energy and Resources (ER). This Directive applies to spills and incidents resulting from wells, facilities and flowlines as defined in The Oil and Gas Conservation Regulations, 2012 (OGCR).
With regard to well and facility sites, the objectives of an SSLA are to estimate the cost to remediate an unassessed problem site and to track liabilities under the Licensee Liability Rating (LLR) program for protection of the Saskatchewan Oil and Gas Orphan Fund (SOGOF). Under the OGCR, reclamation liabilities with respect to flowline spills are associated with a well or facility licence that the flowline is connected to.
SSLAs are based on the results of one or more Environmental Site Assessments (ESA).
Acceptable principles and practices for conducting Phase II ESAs are outlined in Directive PNG033: Phase II Environmental Site Assessment (Directive PNG033).
SSLAs are conducted by the licensee through a qualified third party professional. The extent of assessment and investigation needed to adequately understand the conditions at a given site depends on the complexity of the situation. The overall intent is to gather enough information and lines of evidence to prepare an accurate cost estimate to remediate the site to applicable regulatory or site specific criteria. 
4. Problem Site Identification and Use of the Site Specific Liability Assessment
Potential problem sites are identified through self-disclosure by the licensee or through an inspection conducted by ER personnel. Inspections may be conducted in the course of normal ER field activities or at the request of the land owner.
ER will notify the licensee of any site identified as a potential problem site and provide an opportunity to respond to the identification prior to formally classifying the site as an unassessed problem site.
If a licensee cannot establish that the potential problem site status was deemed in error, ER will notify the licensee in writing that an SSLA is required within a specified timeframe. Typically, a site is classified as an unassessed problem site if evidence indicates:
- insufficient recovery of spilled or released oilfield waste,
- off-lease damage to soil, vegetation, or a water body,
- a high probability of groundwater contaminate transport or migration, and
- surface reclamation issues, such as an extensive cut and fill.
The reclamation liability recorded in the LLR system for the well or facility site will be increased by four times the normal deemed amount or greater depending on the severity of the issue identified, this amount will stay in effect until an SSLA is submitted and accepted by ER.
Dialogue is encouraged between industry and ER throughout the SSLA process to discuss assessment techniques and remediation technologies.
If the estimated cost and recommendations of the SSLA are acceptable to ER, the site will be reclassified as an assessed problem site. The estimated cost of the consultant’s recommended option is generally used for LLR purposes provided the option is based on ER-accepted remediation technologies (in some situations, ER may set the reclamation liability at the cost estimated for the rooting zone excavation, or full excavation). The assessed problem site status will remain in effect until reclamation-related progress is made at the site, such as the full or partial removal and/or treatment of impacted media, or if the results of a Site Specific Risk
Assessment (SSRA) indicate remediation is not warranted or is only partially necessary. For assessed problem sites, both monthly and licence transfer LLR assessments are conducted using the “assessed” value as determined in the SSLA.
ER and the licensee reserve the right to re-evaluate sites when new information becomes available or if site activities or circumstances change. Examples include:
- changes in the extent or concentration of impacts are identified, and/or
- changes in pathways or receptors are identified and/or changes in site conditions are identified that may change the level of risk to the environment</t>
  </si>
  <si>
    <t>Environment Management, Natural Resource Management, Professional Conduct, Quality Management, Water Use and Wastewater Management, Fines, Penalties and Sanctions, Equipment</t>
  </si>
  <si>
    <t>Tank, Desks, Signs, Trucks, Pumps, Tables, Level, Sanction, Violation, Criminal Charge, Financial Penalty, Regulator</t>
  </si>
  <si>
    <t>https://publications.saskatchewan.ca/#/products/100517</t>
  </si>
  <si>
    <t>https://legislation.nimonikapp.com/legislations/544876/legislation_texts</t>
  </si>
  <si>
    <t>https://publications.saskatchewan.ca/api/v1/products/100518/formats/110971/download</t>
  </si>
  <si>
    <t>1. Introduction
The purpose of this Directive is to outline the requirements for a Phase II Environmental Site Assessment and is intended to improve the consistency of reports submitted to the Ministry of Energy and Resources (ER). Information on Phase I Environmental Site Assessment requirements is provided in Directive PNG016: Acknowledgement of Reclamation Requirements (Directive PNG016).
This Directive applies to the environmental site assessment process as it relates to spills, incidents and historical contamination resulting from wells, facilities and flowlines as defined in The Oil and Gas Conservation Regulations, 2012 (OGCR).
This Directive replaces the Saskatchewan Petroleum Industry/Government Environmental Committee (SPIGEC) Guideline No. 4, Saskatchewan Upstream Petroleum Sites Remediation Guidelines and SPIGEC Guideline No. 5, Environmental Site Assessment Procedures for Upstream Petroleum Sites. Users of this document are reminded that the extent of assessment and investigation needed to adequately understand the conditions at a given site should be commensurate with the complexity of the situation.
This Directive incorporates an approach for characterizing impacted sites using tiered endpoints, all of which are intended to be protective of human health and the environment. Assessors have the option to use the endpoint most appropriate for the site as long as compliance with the regulatory requirements is maintained.
7.2 Scope
In addition to confirming or denying the presence of contamination, the Phase II ESA should be designed to delineate contamination and evaluate the migration potential and exposure possibilities (where applicable). To this end, the following information should be considered:
• an overview of historical, current and planned future land uses,
• detailed description of the site and its physical setting to form hypotheses about the release and ultimate fate of contamination,
• information on climate and meteorological conditions that may influence contamination distribution and migration,
• soil texture,
• groundwater presence/absence or characterization,
• sources of contamination at the site and the media that may be affected,
• the distribution of chemicals within each medium, including information on the concentration,
• proximity of contamination to human and ecological receptors,
• how contaminants may be migrating from the sources, the media and pathways through which migration and exposure of potential human or environmental receptors could occur, and information needed to interpret contaminant migration (soil properties, geology, hydrogeology, hydrology and possible preferential pathways),
• where relevant, information pertinent to soil vapor intrusion into buildings, including construction features of buildings,
• presence of conditions warranting a Tier 2 approach as described in the ENV Endpoint Selection Standard or Directive PNG045, and
• presence of conditions requiring a Tier 3 approach as described in the ENV Endpoint Selection Standard or Directive PNG045.
7.3 General Records
Every person required to conduct an ESA must ensure records are kept and retained for at least seven years from the date the record was created.</t>
  </si>
  <si>
    <t>Tank, Scale, Handles, Desks, Signs, Compressors, Chain, Scales, Tables, Conduits, Level, Financial Penalty, Bearings</t>
  </si>
  <si>
    <t>https://publications.saskatchewan.ca/#/products/100518</t>
  </si>
  <si>
    <t>https://legislation.nimonikapp.com/legislations/544877/legislation_texts</t>
  </si>
  <si>
    <t>https://publications.saskatchewan.ca/api/v1/products/103915/formats/115447/download</t>
  </si>
  <si>
    <t>1.1 Purpose
This Directive sets out the Ministry of Energy and Resources (ER)’s technical requirements for the design, construction, operation, modification, discontinuation and abandonment of pipelines.
This Directive also contains application requirements for:
• pipeline applications submitted on or after January 20, 2020,
• registering a legacy licence, and
• retroactive licensing of designated pipelines, including flowlines.
1.3 Application and Interpretation
This Directive applies to all pipelines that are subject to the jurisdiction of the PA. Appendices 3 and 4 of this Directive provide interpretations of technical requirements for pipelines that are exempt from licensing. Please refer to subsection 3(2) of the PA and Part 4 of the PALR for pipelines that are exempt from licensing.
This Directive sets out standards for the design and construction of pipelines. If a lesser standard was permitted at the time of issuing a legacy licence or at the time of constructing a designated pipeline, that lesser standard is acceptable.
1.5 Other Regulatory Requirements
A pipeline licence or any other approval issued by ER is approval for matters that fall within the jurisdiction of the PA. Applicants for a pipeline licence are advised to contact other agencies and government ministries to determine if other regulatory requirements related to the design, construction and operation of a proposed pipeline apply.</t>
  </si>
  <si>
    <t>Environment Management, Safety Management, Security and Public Safety, Water Use and Wastewater Management, Energy Management, Equipment</t>
  </si>
  <si>
    <t>Tank, Scale, Signs, Tubing, Compressors, Racks, Aircraft, Files, Indicators, Desks, Pipe, Springs, Header, Heaters, Telephones, Pumps, Valves, Manifolds, Energy using equipment, Scales, Mops, Tables, Level, Drill, Bearings</t>
  </si>
  <si>
    <t>https://publications.saskatchewan.ca/#/products/103915</t>
  </si>
  <si>
    <t>Directive PNG076: Enhanced Production Audit Program</t>
  </si>
  <si>
    <t>CA-SK-PNG076</t>
  </si>
  <si>
    <t>https://legislation.nimonikapp.com/legislations/544878/legislation_texts</t>
  </si>
  <si>
    <t>https://pubsaskdev.blob.core.windows.net/pubsask-prod/104760/104760-Directive_PNG076-Enhanced_Production_Audit_Program_v.4.pdf</t>
  </si>
  <si>
    <t>1.1 Purpose
This Directive applies to all Business Associates that operate facilities that are subject to the Regulator’s measurement and reporting requirements but does not apply to mineable oil sands or mineable oil shales.
This directive sets out requirements for operators to declare the degree to which they have infrastructure in place to ensure compliance with the Regulator’s measurement and reporting requirements.
This directive does not include instructions on how the volumes are to be measured or reported to the Regulator.
Measurement requirements are described in these documents:
SK Directive PNG017: Measurement Requirements for Oil and Gas Operations
AB Directive 017: Measurement Requirements for Oil and Gas Operations, Directive 060: Upstream Petroleum Industry Flaring, Incinerating, and Venting 
Reporting requirements are described in these documents:
SK Directive PNG032: Volumetric, Valuation and Infrastructure Reporting in Petrinex
AB Directive 007: Volumetric and Infrastructure Requirements
If requirements in previously issued regulator documents such as directives, interim directives, informational letters, and guidelines conflict with the requirements in this directive, the requirements in this Directive supersede the prior requirements.
2 Declaration Regarding the Regulator’s Measurement and Reporting Requirements
EPAP requires that each operator’s senior executives submit an annual declaration attesting to the state of their controls designed to ensure compliance with Directive PNG017. The declaration includes reporting on the existence of controls and the results of the evaluation of controls. The results of the evaluation of controls are entered by EPAP reporting theme in Petrinex using the EPAP functionality. EPAP reporting themes are measurement or reporting categories that may encompass several related business processes, measurement, and reporting requirements. The list of EPAP reporting themes can be displayed in Petrinex and is available from the following sources:
SK Guideline PNG028: Initiating and Operating Enhanced Production Audit Program (EPAP) Appendix 7 - EPAP Reporting Themes
AB AER EPAP Operator’s Handbook
All declarations that are noncompliant with any requirement in this directive, other than the trial declaration, will be subject to enforcement action.
2.3 First declaration
of EPAP, operators must submit their first declaration as follows:
SK 
An operator that has submitted volumetric data to Petrinex for production months prior to January 2016 must submit its first declaration prior to March 1, 2018 based on its declaration month.
An operator that has not submitted volumetric data to Petrinex for production months prior to January 2016 must submit its first declaration within 14 months of its first volumetric data submission to Petrinex based on its declaration month.
AB
This requirement no longer applies to existing operators because this directive has been in effect since January 4, 2010 and existing operators have already submitted their first declaration.
A new operators must submit its first declaration within two years of its first volumetric data submission to Petrinex based on its declaration month.
The details of the declaration are described in Section 11 EPAP Declaration Components.
3.1 Design of controls
An operator must design controls to ensure compliance with Directive PNG017.
This directive does not prescribe specific controls or their degree of complexity. Operators are to
design controls:
1. Using judgment,
2. Acting reasonably, and
3. Giving consideration to various factors particular to the operation, including size, nature of
business, and complexity.
The Guideline PNG028 provides suggestions and acceptable practice that may be adopted as
appropriate. Additional detail is available in the AER EPAP Operator’s Handbook.</t>
  </si>
  <si>
    <t>Environment Management, Fines, Penalties and Sanctions, Energy Management, Equipment</t>
  </si>
  <si>
    <t>Signs, Energy using equipment, Screen, Boxes, Tables, Level, Indicators, Sanction, Violation, Criminal Charge, Financial Penalty, Regulator</t>
  </si>
  <si>
    <t>https://publications.saskatchewan.ca/#/products/88088</t>
  </si>
  <si>
    <t>Canada Energy Regulator (CER) – CER Management System Requirements and CER Management System Audit Guide</t>
  </si>
  <si>
    <t>CA-CER-MSR</t>
  </si>
  <si>
    <t>https://legislation.nimonikapp.com/legislations/544892/legislation_texts</t>
  </si>
  <si>
    <t>https://www.cer-rec.gc.ca/en/safety-environment/industry-performance/reports-compliance-enforcement/audit/cer-management-system-requirements-and-cer-management-system-audit-guide.html</t>
  </si>
  <si>
    <t>1.1 Overview
This Guidance document has been developed to assist management system practitioners in furthering their knowledge of the Canada Energy Regulator’s (CER) management system requirements. This document is divided into sections that describe how the Canadian Energy Regulator Onshore Pipeline Regulations (OPR) regulations are applied in a management system context. In addition to providing an explanation of what the OPR management system requirements are, this document provides guidance on what the CER is looking for when it conducts a management system audit. There is also some information on how the CER structures its audits and what a basic audit information request, that would be sent to a company during an audit, would look like.
These guidance notes are not a substitute for the Canadian Energy Regulator Act (CER Act) or any regulations made thereunder, including the OPR, or any other applicable legislation, standards, or conditions enforced by the CER or against which the CER audits companies. To achieve compliance with the OPR, reference should be made to the OPR itself, and reliance should not be placed on this Guide alone since the Guide is intended to supplement the users’ understanding of the OPR Management System requirements as part of the CER’s audit process. To the extent there is any inconsistency between this Guide and the CER Act or its regulations, or any other applicable standards or conditions, the legal requirements are paramount.
The CER’s purpose is to promote safety and security, environmental protection, and efficient energy infrastructure and markets in the Canadian public interest within the mandate set by Parliament in the regulation of pipelines, energy development and trade. Company development and implementation of carefully designed Management Systems are fundamental to keeping people safe and protecting the environment.
A Management System means the system set out in sections 6.1 to 6.6 of the OPR. It is an approach designed to effectively manage and reduce risk as well as being adaptable to changing conditions. It includes the necessary organizational structures, resources, accountabilities, policies, processes and procedures for an organization to fulfill all tasks related to safety, security and environmental protection. The management system and its protection programs, listed in section 55 of the OPR, must take into consideration all applicable requirements of the CER Act, its applicable regulations, standards referenced in the regulations as well as company-specific standards, and company-specific CER orders and certificates. The OPR regulates the lifecycle of a pipeline, therefore a lifecycle approach to management systems must be applied to the design, construction, operation and abandonment stages of a pipeline.
A carefully designed and well implemented management system supports a strong culture of safety, and is fundamental to keeping people safe and protecting the environment.
1.2 Purpose
The OPR requires regulated companies to establish, implement and maintain management systems and protection programs in order to anticipate, prevent, manage and mitigate conditions that may adversely affect the safety and security of the company’s pipelines, employees, the public, as well as property and the environment. The CER has developed this Guide to identify what the CER is looking for from companies during its audits, specifically what is required to achieve an OPR-compliant management system as it applies to the company’s OPR section 55 programs (s. 55 programs) for safety, pipeline integrity, environmental protection, emergency management, damage prevention, and security over the whole lifecycle of regulated pipelines as defined in the Canadian Energy Regulator Act.
The CER has developed guidance on the following three key areas of the audit process:
OPR sections 6.1-6.6 management system process requirements
Section 2.0 of this document introduces guidance, provides clarification and sets out the CER’s expectations for sections 6.1 to 6.6 of the OPR.
OPR requirements regarding management system, process and task integration (linkages)
Section 3.0 of this document provides guidance on the OPR section 6 management system linkages. It sets out the CER’s expectations for which individual section 6 elements are to be integrated with one another in the management system.
Audit initial information request (IR)
Section 4.0 of this document provides basic information on the IR that will be sent to the auditee and gives guidance on how to address and fulfill the IR’s requirements.</t>
  </si>
  <si>
    <t>Security and Public Safety, Environment Management, Safety Management, Energy Management, Equipment, Fines, Penalties and Sanctions</t>
  </si>
  <si>
    <t>Energy using equipment, Tables, Vises, Scale, Motor vehicle, Pipe, Balance, Scales, Vehicle, Motors, Level, Indicators, Sanction, Violation, Criminal Charge, Financial Penalty, Regulator, Train</t>
  </si>
  <si>
    <t>https://www.cer-rec.gc.ca/en/safety-environment/industry-performance/reports-compliance-enforcement/audit/cer-management-system-requirements-and-cer-management-system-audit-guide.pdf</t>
  </si>
  <si>
    <t>https://www.cer-rec.gc.ca/en/safety-environment/industry-performance/reports-compliance-enforcement/index.html</t>
  </si>
  <si>
    <t>Régie de l’énergie du Canada – Exigences relatives au système de gestion de la Régie et guide de vérification du système de gestion de la Régie</t>
  </si>
  <si>
    <t>CA-REC-SGR</t>
  </si>
  <si>
    <t>https://legislation.nimonikapp.com/legislations/544893/legislation_texts</t>
  </si>
  <si>
    <t>https://www.cer-rec.gc.ca/fr/securite-environnement/rendement-lindustrie/rapports-conformite-lexecution/audit/exigences-relatives-au-systeme-de-gestion-de-la-regie-et-guide-de-verification-du-systeme-de-gestion-de-la-regie.html</t>
  </si>
  <si>
    <t>https://www.cer-rec.gc.ca/fr/securite-environnement/rendement-lindustrie/rapports-conformite-lexecution/audit/exigences-relatives-au-systeme-de-gestion-de-la-regie-et-guide-de-verification-du-systeme-de-gestion-de-la-regie.pdf</t>
  </si>
  <si>
    <t>https://www.cer-rec.gc.ca/fr/securite-environnement/rendement-lindustrie/rapports-conformite-lexecution/index.html</t>
  </si>
  <si>
    <t>Information Advisory CER IA 2021-003 2020-21 CER Compliance Audits: Lessons Learned</t>
  </si>
  <si>
    <t>CA-CER-IA2021-003</t>
  </si>
  <si>
    <t>https://legislation.nimonikapp.com/legislations/544894/legislation_texts</t>
  </si>
  <si>
    <t>https://www.cer-rec.gc.ca/en/safety-environment/industry-performance/information-safety-advisories/information-advisory/2021/2020-21-cer-compliance-audits-lessons-learned.html</t>
  </si>
  <si>
    <t>Basis for Issuance
The Canada Energy Regulator (CER) requires all companies to establish and implement an effective management system in order to proactively identify and analyse hazards and manage the associated risks to prevent harm to people and the environment. A well-designed and implemented management system as described in the Canadian Energy Regulator Onshore Pipeline Regulations (SOR/99-294) (OPR), enables hazard management, learning and continual improvement throughout an organization. When coupled with a robust safety culture, it supports strong safety and environmental protection performance and outcomes.
Departmental Goals, Objectives and Targets (GOTs)
The OPR requires that each CER-regulated company base its management system, as well as its section 55 programs on its corporate policies and goals. Therefore, a company must have a process for setting the objectives and specific targets required to achieve the corporate goals, as well as performance measures. A company must also have a process to evaluate the company’s success in achieving its goals, objectives and targets. Several of the audited companies did not have program specific GOTs or performance measures designed to meet the corporate goals.
Evaluating the Management System
The OPR requires a company to establish and implement a process to evaluate the adequacy and effectiveness of the management system, and to monitor, measure and document the company’s performance in meeting its obligations under the OPR.
While most of the audited companies had a management system in various stages of development, not all had a process to evaluate if it is achieving its intended objectives of providing oversight over the company’s operations and the necessary oversight over safety, security and environmental protection. One way this is achieved is through the use of a quality assurance program, including audits and inspections, to verify compliance with legal requirements and the company’s own procedures. Where deficiencies are identified, they must be tracked through to their rectification, and reviewed during the management review process to ensure that improvements have been made to prevent their reoccurrence.</t>
  </si>
  <si>
    <t>Security and Public Safety, Environment Management, Safety Management, Energy Management, Equipment</t>
  </si>
  <si>
    <t>Energy using equipment, Signs, Files, Regulator</t>
  </si>
  <si>
    <t>https://www.cer-rec.gc.ca/en/safety-environment/industry-performance/information-safety-advisories/information-advisory/2021/2020-21-cer-compliance-audits-lessons-learned.pdf</t>
  </si>
  <si>
    <t>Avis d’information de la Régie IA 2021-003 Audits de conformité de la Régie en 2020-2021 – Leçons apprises</t>
  </si>
  <si>
    <t>CA-CER-IA2021-003.fr</t>
  </si>
  <si>
    <t>https://legislation.nimonikapp.com/legislations/544895/legislation_texts</t>
  </si>
  <si>
    <t>https://www.cer-rec.gc.ca/fr/securite-environnement/rendement-lindustrie/avis-securite-dinformation/avis-dinformation/2021/audits-conformit-regie-2020-2021-lecons-apprises.html</t>
  </si>
  <si>
    <t>https://www.cer-rec.gc.ca/fr/securite-environnement/rendement-lindustrie/avis-securite-dinformation/avis-dinformation/2021/audits-conformit-regie-2020-2021-lecons-apprises.pdf</t>
  </si>
  <si>
    <t>Energy Administration Act Sections 53 to 65 Non-application Order, 1986</t>
  </si>
  <si>
    <t>CA-SOR/86-1049</t>
  </si>
  <si>
    <t>https://legislation.nimonikapp.com/legislations/545722/legislation_texts</t>
  </si>
  <si>
    <t>https://canlii.ca/t/7znh</t>
  </si>
  <si>
    <t>CA-RSC1985,cE-6</t>
  </si>
  <si>
    <t>https://laws.justice.gc.ca/eng/regulations/sor-86-1049/FullText.html</t>
  </si>
  <si>
    <t>Décret de non-application des articles 53 à 65 de la Loi sur l’administration de l’énergie (1986)</t>
  </si>
  <si>
    <t>CA-DORS/86-1049</t>
  </si>
  <si>
    <t>https://legislation.nimonikapp.com/legislations/545723/legislation_texts</t>
  </si>
  <si>
    <t>https://canlii.ca/t/cnrt</t>
  </si>
  <si>
    <t>https://laws.justice.gc.ca/fra/reglements/DORS-86-1049/TexteComplet.html</t>
  </si>
  <si>
    <t>Canada Oil and Gas Certificate of Fitness Regulations</t>
  </si>
  <si>
    <t>CA-SOR/96-114</t>
  </si>
  <si>
    <t>https://legislation.nimonikapp.com/legislations/545738/legislation_texts</t>
  </si>
  <si>
    <t>https://canlii.ca/t/80jd</t>
  </si>
  <si>
    <t>Tank, Barge, Derrick, Jacks, Pumps, Tables, Manifolds, Drill, Tubes</t>
  </si>
  <si>
    <t>https://laws.justice.gc.ca/eng/regulations/SOR-96-114/FullText.html</t>
  </si>
  <si>
    <t>Règlement sur les certificats de conformité liés à l’exploitation du pétrole et du gaz au Canada</t>
  </si>
  <si>
    <t>CA-DORS/96-114</t>
  </si>
  <si>
    <t>https://legislation.nimonikapp.com/legislations/545739/legislation_texts</t>
  </si>
  <si>
    <t>https://canlii.ca/t/cpmq</t>
  </si>
  <si>
    <t>https://laws.justice.gc.ca/fra/reglements/DORS-96-114/TexteComplet.html</t>
  </si>
  <si>
    <t>Canada–Newfoundland and Labrador Offshore Petroleum Administrative Monetary Penalties Regulations</t>
  </si>
  <si>
    <t>CA-SOR/2016-19</t>
  </si>
  <si>
    <t>https://legislation.nimonikapp.com/legislations/545740/legislation_texts</t>
  </si>
  <si>
    <t>https://canlii.ca/t/8z1w</t>
  </si>
  <si>
    <t>Natural Resource Management, Safety Management, Environment Management, Fines, Penalties and Sanctions, Equipment</t>
  </si>
  <si>
    <t>Sanction, Violation, Criminal Charge, Tables, Level, Financial Penalty</t>
  </si>
  <si>
    <t>https://laws.justice.gc.ca/eng/regulations/SOR-2016-19/FullText.html</t>
  </si>
  <si>
    <t>Règlement sur les sanctions administratives pécuniaires en matière d’hydrocarbures dans la zone extracôtière Canada — Terre-Neuve-et-Labrador</t>
  </si>
  <si>
    <t>CA-DORS/2016-19</t>
  </si>
  <si>
    <t>https://legislation.nimonikapp.com/legislations/545741/legislation_texts</t>
  </si>
  <si>
    <t>https://canlii.ca/t/dn57</t>
  </si>
  <si>
    <t>https://laws.justice.gc.ca/fra/reglements/DORS-2016-19/TexteComplet.html</t>
  </si>
  <si>
    <t>CA-SOR/2016-20</t>
  </si>
  <si>
    <t>https://legislation.nimonikapp.com/legislations/545742/legislation_texts</t>
  </si>
  <si>
    <t>https://canlii.ca/t/8z1x</t>
  </si>
  <si>
    <t>https://laws.justice.gc.ca/eng/regulations/SOR-2016-20/FullText.html</t>
  </si>
  <si>
    <t>Règlement sur les sanctions administratives pécuniaires en matière d’hydrocarbures dans la zone extracôtière Canada — Nouvelle-Écosse</t>
  </si>
  <si>
    <t>CA-DORS/2016-20</t>
  </si>
  <si>
    <t>https://legislation.nimonikapp.com/legislations/545743/legislation_texts</t>
  </si>
  <si>
    <t>https://canlii.ca/t/dn58</t>
  </si>
  <si>
    <t>https://laws.justice.gc.ca/fra/reglements/DORS-2016-20/TexteComplet.html</t>
  </si>
  <si>
    <t>Canada–Nova Scotia Offshore Petroleum Cost Recovery Regulations</t>
  </si>
  <si>
    <t>CA-SOR/2016-22</t>
  </si>
  <si>
    <t>https://legislation.nimonikapp.com/legislations/545744/legislation_texts</t>
  </si>
  <si>
    <t>https://canlii.ca/t/8z20</t>
  </si>
  <si>
    <t>Natural Resource Management, Fines, Penalties and Sanctions, Equipment</t>
  </si>
  <si>
    <t>Tables, Financial Penalty</t>
  </si>
  <si>
    <t>https://laws.justice.gc.ca/eng/regulations/SOR-2016-22/FullText.html</t>
  </si>
  <si>
    <t>Règlement sur le recouvrement des coûts en matière d’hydrocarbures dans la zone extracôtière Canada — Nouvelle-Écosse</t>
  </si>
  <si>
    <t>CA-DORS/2016-22</t>
  </si>
  <si>
    <t>https://legislation.nimonikapp.com/legislations/545745/legislation_texts</t>
  </si>
  <si>
    <t>https://canlii.ca/t/dn5b</t>
  </si>
  <si>
    <t>https://laws.justice.gc.ca/fra/reglements/DORS-2016-22/TexteComplet.html</t>
  </si>
  <si>
    <t>Crown Share Adjustment Payments Regulations</t>
  </si>
  <si>
    <t>CA-SOR/2012-113</t>
  </si>
  <si>
    <t>https://legislation.nimonikapp.com/legislations/545748/legislation_texts</t>
  </si>
  <si>
    <t>https://canlii.ca/t/8qpt</t>
  </si>
  <si>
    <t>Natural Resource Management, Financial Administration, Accounting, Charges, Fines, Penalties and Sanctions, Equipment, Energy Management</t>
  </si>
  <si>
    <t>Vises, Sanction, Violation, Criminal Charge, Energy using equipment, Financial Penalty</t>
  </si>
  <si>
    <t>https://laws.justice.gc.ca/eng/regulations/SOR-2012-113/FullText.html</t>
  </si>
  <si>
    <t>Règlement portant sur les paiements rectificatifs à l’égard de parts de la Couronne</t>
  </si>
  <si>
    <t>CA-DORS/2012-113</t>
  </si>
  <si>
    <t>https://legislation.nimonikapp.com/legislations/545749/legislation_texts</t>
  </si>
  <si>
    <t>https://canlii.ca/t/dft5</t>
  </si>
  <si>
    <t>https://laws.justice.gc.ca/fra/reglements/DORS-2012-113/TexteComplet.html</t>
  </si>
  <si>
    <t>Energy Monitoring Regulations, 2006</t>
  </si>
  <si>
    <t>CA-SOR/2007-160</t>
  </si>
  <si>
    <t>https://legislation.nimonikapp.com/legislations/545750/legislation_texts</t>
  </si>
  <si>
    <t>https://canlii.ca/t/7z6m</t>
  </si>
  <si>
    <t>Motors, Energy using equipment</t>
  </si>
  <si>
    <t>https://laws.justice.gc.ca/eng/regulations/SOR-2007-160/FullText.html</t>
  </si>
  <si>
    <t>Règlement sur la surveillance du secteur énergétique (2006)</t>
  </si>
  <si>
    <t>CA-DORS/2007-160</t>
  </si>
  <si>
    <t>https://legislation.nimonikapp.com/legislations/545751/legislation_texts</t>
  </si>
  <si>
    <t>https://canlii.ca/t/cn9z</t>
  </si>
  <si>
    <t>https://laws.justice.gc.ca/fra/reglements/DORS-2007-160/TexteComplet.html</t>
  </si>
  <si>
    <t>Lancaster Sound Designated Area Regulations</t>
  </si>
  <si>
    <t>CA-SOR/98-349</t>
  </si>
  <si>
    <t>https://legislation.nimonikapp.com/legislations/545764/legislation_texts</t>
  </si>
  <si>
    <t>https://canlii.ca/t/80rv</t>
  </si>
  <si>
    <t>Tables</t>
  </si>
  <si>
    <t>https://laws.justice.gc.ca/eng/regulations/SOR-98-349/FullText.html</t>
  </si>
  <si>
    <t>Règlement visant la zone désignée du détroit de Lancaster</t>
  </si>
  <si>
    <t>CA-DORS/98-349</t>
  </si>
  <si>
    <t>https://legislation.nimonikapp.com/legislations/545765/legislation_texts</t>
  </si>
  <si>
    <t>https://canlii.ca/t/cpw6</t>
  </si>
  <si>
    <t>https://laws.justice.gc.ca/fra/reglements/DORS-98-349/TexteComplet.html</t>
  </si>
  <si>
    <t>National Energy Board Order No. MO-62-69</t>
  </si>
  <si>
    <t>CA-CRC,c1055</t>
  </si>
  <si>
    <t>https://legislation.nimonikapp.com/legislations/545782/legislation_texts</t>
  </si>
  <si>
    <t>https://canlii.ca/t/7w2k</t>
  </si>
  <si>
    <t>Application of part IV of the act
2 The National Energy Board, pursuant to subsection 97(1)1 of the National Energy Board Act, hereby orders that Part IV of the said Act applies to every person who was operating a pipeline on November 2, 1959.</t>
  </si>
  <si>
    <t>Communications and Utilities, Financial Administration, Accounting, Charges</t>
  </si>
  <si>
    <t>https://laws-lois.justice.gc.ca/eng/regulations/C.R.C.,_c._1055/FullText.html</t>
  </si>
  <si>
    <t>Ordonnance No MO-62-69 de l’Office national de l’énergie</t>
  </si>
  <si>
    <t>CA-CRC,c1055.fr</t>
  </si>
  <si>
    <t>https://legislation.nimonikapp.com/legislations/545783/legislation_texts</t>
  </si>
  <si>
    <t>https://canlii.ca/t/cl5w</t>
  </si>
  <si>
    <t>Application de la partie iv de la loi
2 En vertu du paragraphe 97(1)1 de la Loi sur l’Office national de l’énergie, l’Office national de l’énergie ordonne que la Partie IV de cette Loi s’applique à toute personne qui, le 2 novembre 1959, exploitait un pipe-line.</t>
  </si>
  <si>
    <t>https://laws-lois.justice.gc.ca/fra/reglements/C.R.C.%2C_ch._1055/TexteComplet.html</t>
  </si>
  <si>
    <t>Nova Scotia Offshore Certificate of Fitness Regulations</t>
  </si>
  <si>
    <t>CA-SOR/95-187</t>
  </si>
  <si>
    <t>https://legislation.nimonikapp.com/legislations/545790/legislation_texts</t>
  </si>
  <si>
    <t>https://canlii.ca/t/80fk</t>
  </si>
  <si>
    <t>Barge, Tables, Tubes, Drill, Tank, Derrick, Jacks, Pumps, Manifolds</t>
  </si>
  <si>
    <t>https://laws.justice.gc.ca/eng/regulations/SOR-95-187/FullText.html</t>
  </si>
  <si>
    <t>Règlement sur les certificats de conformité liés à l’exploitation des hydrocarbures dans la zone extracôtière de la Nouvelle-Écosse</t>
  </si>
  <si>
    <t>CA-DORS/95-187</t>
  </si>
  <si>
    <t>https://legislation.nimonikapp.com/legislations/545791/legislation_texts</t>
  </si>
  <si>
    <t>https://canlii.ca/t/cpjw</t>
  </si>
  <si>
    <t>https://laws.justice.gc.ca/fra/reglements/DORS-95-187/TexteComplet.html</t>
  </si>
  <si>
    <t>Nova Scotia Resources (Ventures) Limited Drilling Assistance Regulations</t>
  </si>
  <si>
    <t>CA-SOR/94-168</t>
  </si>
  <si>
    <t>https://legislation.nimonikapp.com/legislations/545796/legislation_texts</t>
  </si>
  <si>
    <t>https://canlii.ca/t/80bv</t>
  </si>
  <si>
    <t>Financial Administration, Accounting, Charges, Fines, Penalties and Sanctions</t>
  </si>
  <si>
    <t>Financial Penalty</t>
  </si>
  <si>
    <t>https://laws.justice.gc.ca/eng/regulations/SOR-94-168/FullText.html</t>
  </si>
  <si>
    <t>Règlement sur l’aide à l’égard du forage destinée à la Nova Scotia Resources (Ventures) Limited</t>
  </si>
  <si>
    <t>CA-DORS/94-168</t>
  </si>
  <si>
    <t>https://legislation.nimonikapp.com/legislations/545797/legislation_texts</t>
  </si>
  <si>
    <t>https://canlii.ca/t/cpg6</t>
  </si>
  <si>
    <t>https://laws.justice.gc.ca/fra/reglements/DORS-94-168/TexteComplet.html</t>
  </si>
  <si>
    <t>Nova Scotia Share of Offshore Sales Tax Payment Regulations</t>
  </si>
  <si>
    <t>CA-SOR/85-912</t>
  </si>
  <si>
    <t>https://legislation.nimonikapp.com/legislations/545800/legislation_texts</t>
  </si>
  <si>
    <t>https://canlii.ca/t/7zn7</t>
  </si>
  <si>
    <t>Sanction, Violation, Criminal Charge, Financial Penalty</t>
  </si>
  <si>
    <t>https://laws.justice.gc.ca/eng/regulations/SOR-85-912/FullText.html</t>
  </si>
  <si>
    <t>Règlement sur le paiement de la part de la Nouvelle-Écosse de la taxe de vente extracôtière</t>
  </si>
  <si>
    <t>CA-DORS/85-912</t>
  </si>
  <si>
    <t>https://legislation.nimonikapp.com/legislations/545801/legislation_texts</t>
  </si>
  <si>
    <t>https://canlii.ca/t/cnrk</t>
  </si>
  <si>
    <t>https://laws.justice.gc.ca/fra/reglements/DORS-85-912/TexteComplet.html</t>
  </si>
  <si>
    <t>Offshore Area Exclusion Order</t>
  </si>
  <si>
    <t>CA-SOR/84-592</t>
  </si>
  <si>
    <t>https://legislation.nimonikapp.com/legislations/545802/legislation_texts</t>
  </si>
  <si>
    <t>https://canlii.ca/t/7zlp</t>
  </si>
  <si>
    <t>https://laws.justice.gc.ca/eng/regulations/SOR-84-592/FullText.html</t>
  </si>
  <si>
    <t>Décret prévoyant une exception concernant la région extracôtière</t>
  </si>
  <si>
    <t>CA-DORS/84-592</t>
  </si>
  <si>
    <t>https://legislation.nimonikapp.com/legislations/545803/legislation_texts</t>
  </si>
  <si>
    <t>https://canlii.ca/t/cnq1</t>
  </si>
  <si>
    <t>https://laws.justice.gc.ca/fra/reglements/DORS-84-592/TexteComplet.html</t>
  </si>
  <si>
    <t>Issuance of Interests at Lapierre House Historic Site in the Yukon Territory, Order Prohibiting the</t>
  </si>
  <si>
    <t>CA-SOR/98-188</t>
  </si>
  <si>
    <t>https://legislation.nimonikapp.com/legislations/545864/legislation_texts</t>
  </si>
  <si>
    <t>https://canlii.ca/t/80qf</t>
  </si>
  <si>
    <t>Vises</t>
  </si>
  <si>
    <t>https://laws.justice.gc.ca/eng/regulations/SOR-98-188/FullText.html</t>
  </si>
  <si>
    <t>Décret interdisant l’octroi de titres à l’égard du site historique de Lapierre House (Yukon)</t>
  </si>
  <si>
    <t>CA-DORS/98-188</t>
  </si>
  <si>
    <t>https://legislation.nimonikapp.com/legislations/545865/legislation_texts</t>
  </si>
  <si>
    <t>https://canlii.ca/t/cptr</t>
  </si>
  <si>
    <t>https://laws.justice.gc.ca/fra/reglements/DORS-98-188/TexteComplet.html</t>
  </si>
  <si>
    <t>Issuance of Interests at Rampart House in the Yukon Territory, Order Prohibiting the</t>
  </si>
  <si>
    <t>CA-SOR/97-540</t>
  </si>
  <si>
    <t>https://legislation.nimonikapp.com/legislations/545866/legislation_texts</t>
  </si>
  <si>
    <t>https://canlii.ca/t/80p3</t>
  </si>
  <si>
    <t>https://laws.justice.gc.ca/eng/regulations/SOR-97-540/FullText.html</t>
  </si>
  <si>
    <t>Décret interdisant l’octroi de titres à l’égard de Rampart House (Yukon)</t>
  </si>
  <si>
    <t>CA-DORS/97-540</t>
  </si>
  <si>
    <t>https://legislation.nimonikapp.com/legislations/545867/legislation_texts</t>
  </si>
  <si>
    <t>https://canlii.ca/t/cpsf</t>
  </si>
  <si>
    <t>https://laws.justice.gc.ca/fra/reglements/DORS-97-540/TexteComplet.html</t>
  </si>
  <si>
    <t>Issuance of Interests in Public Lands in the Northwest Territories (Central and Eastern Portions of the South Slave Region), Order Prohibiting the</t>
  </si>
  <si>
    <t>CA-SOR/2017-103</t>
  </si>
  <si>
    <t>https://canlii.ca/t/90c3</t>
  </si>
  <si>
    <t>SC2014,c2,s2</t>
  </si>
  <si>
    <t>https://laws.justice.gc.ca/eng/regulations/SOR-2017-103/FullText.html</t>
  </si>
  <si>
    <t>Décret interdisant l’attribution d’intérêts sur certaines terres domaniales dans les Territoires du Nord-Ouest (secteurs centre et est de la région de South Slave)</t>
  </si>
  <si>
    <t>CA-DORS/2017-103</t>
  </si>
  <si>
    <t>https://legislation.nimonikapp.com/legislations/545869/legislation_texts</t>
  </si>
  <si>
    <t>https://canlii.ca/t/dpgf</t>
  </si>
  <si>
    <t>https://laws.justice.gc.ca/fra/reglements/DORS-2017-103/TexteComplet.html</t>
  </si>
  <si>
    <t>Petroleum and Gas Revenue Tax Regulations</t>
  </si>
  <si>
    <t>CA-SOR/82-503</t>
  </si>
  <si>
    <t>https://legislation.nimonikapp.com/legislations/545874/legislation_texts</t>
  </si>
  <si>
    <t>https://canlii.ca/t/7zhn</t>
  </si>
  <si>
    <t>Vises, Reservoirs, Sanction, Violation, Criminal Charge, Financial Penalty</t>
  </si>
  <si>
    <t>https://laws.justice.gc.ca/eng/regulations/SOR-82-503/FullText.html</t>
  </si>
  <si>
    <t>Règlement de l’impôt sur les revenus pétroliers</t>
  </si>
  <si>
    <t>CA-DORS/82-503</t>
  </si>
  <si>
    <t>https://legislation.nimonikapp.com/legislations/545875/legislation_texts</t>
  </si>
  <si>
    <t>https://canlii.ca/t/cnm0</t>
  </si>
  <si>
    <t>https://laws.justice.gc.ca/fra/reglements/DORS-82-503/TexteComplet.html</t>
  </si>
  <si>
    <t>Management of Fugitive Emissions at Upstream Oil and Gas Facilities</t>
  </si>
  <si>
    <t>CA-CAPP-BMPFEM</t>
  </si>
  <si>
    <t>https://legislation.nimonikapp.com/legislations/547240/legislation_texts</t>
  </si>
  <si>
    <t>http://infratech.cc/wp-content/uploads/2015/02/CAPP-BMPFEM.pdf</t>
  </si>
  <si>
    <t>1 Applicability
This BMP provides guidance for the management of fugitive emissions at UOG
facilities from leaks (i.e., the loss of process fluid to the environment past a seal,
threaded or mechanical connection, cover, valve seat, flaw or minor damage
point) on equipment components in hydrocarbon service.
A component is considered to be in hydrocarbon service when the process fluid
being handled contains greater than 10 percent hydrocarbons on a mass basis.
Fugitive emissions from equipment leaks are unintentional losses and may arise
due to normal wear and tear, improper or incomplete assembly of components,
inadequate material specification, manufacturing defects, damage during
installation or use, corrosion, fouling and environmental effects. Components also
tend to have greater average emissions when subjected to frequent thermal
cycling, vibrations or cryogenic service.
Only a small percentage of the equipment components have any measurable
leakage, and of those only a small percentage contributes to most of the
emissions. Thus, the control of fugitive emissions is a matter of minimizing the
potential for big leaks and providing early detection and repair.
The UOG industry is characterized by many small widely dispersed facilities
rather than a few large facilities so it is appropriate to apply a directed approach
that targets the sources most practicable to control, components most likely to
result in big leaks. At each target facility, efforts should be focused on the areas
most likely to offer significant, cost-effective control opportunities (e.g., on
specific component types and service applications).
This BMP is designed to apply to components in sweet gas service which are
expected to represent the greatest opportunity for emission reductions.1 Existing
mechanisms to address odour, health and safety concerns in sour facilities are
deemed to meet or exceed the purpose of this BMP.2 Furthermore, this BMP is
designed to apply primarily to fugitive equipment leaks from components in
natural gas or hydrocarbon vapour service. This reflects the greater difficulty in
containing a gas than a liquid (i.e., due to the greater mobility or fluidity of
gases), and the general reduced visual indications of gas leaks.
2 Implementation And Schedule For Review
Efficient management of fugitive emissions is best achieved through the
application of DI&amp;M techniques. DI&amp;M focuses inspection and correction efforts
on the areas most likely to offer significant cost-effective control opportunities,
with coarse or less frequent screening of other areas for additional opportunities.
The Decision Tree reproduced under Figure 1 has been developed to provide a
process to effectively manage fugitive emissions.
When phasing-in their DI&amp;M program, companies may consider factors such as
size and age of facility or type of facility, percentage of components per year,
percentage of facilities, business units, geographic area, shutdown schedule, and
economic classification of repairs. The implementation of a DI&amp;M program at
existing UOG facilities should be completed by December 31, 2009.
While this BMP provides for a phasing-in period, CAPP members will be
requested to provide interim reports on the status of implementation of a DI&amp;M
program within their companies by March 31, 2008 and March 31, 2009. These
status reports will indicate any problem areas or improvements and allow for
updating and additions to the BMP as necessary.
When implementing this BMP, companies should keep in mind that the EUB
Directive 060 imposes a mandatory requirement to implement a program to detect
and repair leaks and that such a program must meet or exceed CAPP BMP.
In view of the above, the use of the world “should” in this BMP does not imply
that action is not necessary within the context of the EUB Directive 060, i.e.,
alternative methodologies to those described in the BMP can be used as long as
the expected results are achieved or exceeded. “No action” is not an option.
3 Basic Control Strategy
The key elements for effective long-term control of fugitive emissions are the
application of best available technology and standards, implementation of
management systems, and corporate commitment. The application of control
technologies and design standards, alone, do not preclude the potential for
fugitive emissions. Reliable fugitive emissions control requires:
• the development of monitoring programs, operating procedures and
performance objectives for controlling fugitive emissions, and
• Management’s commitment to the implementation and maintenance of a
DI&amp;M program</t>
  </si>
  <si>
    <t>Air Emissions and Ambient Air Quality, Environment Management, Safety Management, Energy Management, Equipment, Fines, Penalties and Sanctions</t>
  </si>
  <si>
    <t>Energy efficiency and saving, Indicators, Spacers, Plugs, Tube Fittings, Piston, Dams, Gauges, Tables, Bushings, Partitions, Doors, Pumps, Sanction, Violation, Criminal Charge, Barrier, Pipe, Tank Fittings, Reservoirs, Lubricators, Sprayers, Financial Penalty, Drum, Seats, Valves, Tubes, Trucks, Gaskets, Scales, Energy consumption and conservation, Bottles, Gate, Vacuums, Cap, Fittings, Level, Compressors, Vacuum pump, Boxes, Gauge, Pressure Gauges, Bearings, Bolt, Bellows, Recorders, Files, Horns, Screen, Filters, Squares, Tap, Hand Wheels, Loops, Shaft, Energy using equipment, Packing Material, Balance, Switches, Tank, Regulator, Scale, Telephones, Header, Handles, Tags, Actuators, Ducts, Lights, Motors, Springs, Controllers, Signs, Wheels, Mechanical Seals, Leak Detectors, Desiccants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</si>
</sst>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4">
    <font>
      <sz val="10.0"/>
      <color rgb="FF000000"/>
      <name val="Arial"/>
      <scheme val="minor"/>
    </font>
    <font>
      <color theme="1"/>
      <name val="Arial"/>
      <scheme val="minor"/>
    </font>
    <font>
      <u/>
      <color rgb="FF0000FF"/>
    </font>
    <font>
      <u/>
      <color rgb="FF0000FF"/>
    </font>
  </fonts>
  <fills count="2">
    <fill>
      <patternFill patternType="none"/>
    </fill>
    <fill>
      <patternFill patternType="lightGray"/>
    </fill>
  </fills>
  <borders count="1">
    <border/>
  </borders>
  <cellStyleXfs count="1">
    <xf borderId="0" fillId="0" fontId="0" numFmtId="0" applyAlignment="1" applyFont="1"/>
  </cellStyleXfs>
  <cellXfs count="7">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readingOrder="0" shrinkToFit="0" wrapText="1"/>
    </xf>
    <xf borderId="0" fillId="0" fontId="1" numFmtId="0" xfId="0" applyAlignment="1" applyFont="1">
      <alignment shrinkToFit="0" wrapText="1"/>
    </xf>
    <xf borderId="0" fillId="0" fontId="2" numFmtId="0" xfId="0" applyFont="1"/>
    <xf borderId="0" fillId="0" fontId="1" numFmtId="164" xfId="0" applyAlignment="1" applyFont="1" applyNumberFormat="1">
      <alignment readingOrder="0"/>
    </xf>
    <xf borderId="0" fillId="0" fontId="3"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92" Type="http://schemas.openxmlformats.org/officeDocument/2006/relationships/hyperlink" Target="https://canlii.ca/t/7ztj" TargetMode="External"/><Relationship Id="rId391" Type="http://schemas.openxmlformats.org/officeDocument/2006/relationships/hyperlink" Target="https://legislation.nimonikapp.com/legislations/4273/legislation_texts" TargetMode="External"/><Relationship Id="rId390" Type="http://schemas.openxmlformats.org/officeDocument/2006/relationships/hyperlink" Target="http://canlii.ca/t/ckss" TargetMode="External"/><Relationship Id="rId1" Type="http://schemas.openxmlformats.org/officeDocument/2006/relationships/hyperlink" Target="https://www.cer-rec.gc.ca/bts/ctrg/gnnb/prcssngplnt/gndsgncnstrctnprtn-eng.html" TargetMode="External"/><Relationship Id="rId2" Type="http://schemas.openxmlformats.org/officeDocument/2006/relationships/hyperlink" Target="https://www.neb-one.gc.ca/bts/ctrg/gnnb/nshrppln/index-eng.html" TargetMode="External"/><Relationship Id="rId3" Type="http://schemas.openxmlformats.org/officeDocument/2006/relationships/hyperlink" Target="https://www.cer-rec.gc.ca/bts/ctrg/gnnb/prcssngplnt/gndsgncnstrctnprtn-fra.html" TargetMode="External"/><Relationship Id="rId4" Type="http://schemas.openxmlformats.org/officeDocument/2006/relationships/hyperlink" Target="https://www.neb-one.gc.ca/bts/ctrg/gnnb/nshrppln/index-fra.html" TargetMode="External"/><Relationship Id="rId9" Type="http://schemas.openxmlformats.org/officeDocument/2006/relationships/hyperlink" Target="https://www.cer-rec.gc.ca/bts/ctrg/gnnb/nshrppln/2003prssrqupmntgn-fra.pdf" TargetMode="External"/><Relationship Id="rId385" Type="http://schemas.openxmlformats.org/officeDocument/2006/relationships/hyperlink" Target="https://www.cer-rec.gc.ca/sftnvrnmnt/sft/dvsr/nbnfrmtndvsr/2015/nb-ia02015-01-fra.pdf" TargetMode="External"/><Relationship Id="rId384" Type="http://schemas.openxmlformats.org/officeDocument/2006/relationships/hyperlink" Target="https://www.cer-rec.gc.ca/sftnvrnmnt/sft/dvsr/nbnfrmtndvsr/index-eng.html?=undefined&amp;wbdisable=true" TargetMode="External"/><Relationship Id="rId383" Type="http://schemas.openxmlformats.org/officeDocument/2006/relationships/hyperlink" Target="https://www.cer-rec.gc.ca/sftnvrnmnt/sft/dvsr/nbnfrmtndvsr/2015/nb-ia02015-01-eng.pdf" TargetMode="External"/><Relationship Id="rId382" Type="http://schemas.openxmlformats.org/officeDocument/2006/relationships/hyperlink" Target="https://www.cer-rec.gc.ca/fr/securite-environnement/rendement-lindustrie/avis-securite-dinformation/avis-dinformation/2012/archive/avis-dinformation-loffice-national-lenergie-neb-ia-2012-01-cours-survie-cours-devacuation-dhelicoptere-submerge.html" TargetMode="External"/><Relationship Id="rId5" Type="http://schemas.openxmlformats.org/officeDocument/2006/relationships/hyperlink" Target="https://legislation.nimonikapp.com/legislations/3/legislation_texts" TargetMode="External"/><Relationship Id="rId389" Type="http://schemas.openxmlformats.org/officeDocument/2006/relationships/hyperlink" Target="https://legislation.nimonikapp.com/legislations/212056/legislation_texts" TargetMode="External"/><Relationship Id="rId6" Type="http://schemas.openxmlformats.org/officeDocument/2006/relationships/hyperlink" Target="https://www.cer-rec.gc.ca/en/about/acts-regulations/cer-act-regulations-guidance-notes-related-documents/onshore-pipeline/2003prssrqupmntgn-eng.pdf" TargetMode="External"/><Relationship Id="rId388" Type="http://schemas.openxmlformats.org/officeDocument/2006/relationships/hyperlink" Target="https://canlii.ca/t/7vpg" TargetMode="External"/><Relationship Id="rId7" Type="http://schemas.openxmlformats.org/officeDocument/2006/relationships/hyperlink" Target="https://www.neb-one.gc.ca/bts/ctrg/gnnb/nshrppln/index-eng.html" TargetMode="External"/><Relationship Id="rId387" Type="http://schemas.openxmlformats.org/officeDocument/2006/relationships/hyperlink" Target="https://legislation.nimonikapp.com/legislations/4272/legislation_texts" TargetMode="External"/><Relationship Id="rId8" Type="http://schemas.openxmlformats.org/officeDocument/2006/relationships/hyperlink" Target="https://legislation.nimonikapp.com/legislations/173086/legislation_texts" TargetMode="External"/><Relationship Id="rId386" Type="http://schemas.openxmlformats.org/officeDocument/2006/relationships/hyperlink" Target="https://www.cer-rec.gc.ca/sftnvrnmnt/sft/dvsr/nbnfrmtndvsr/index-fra.html?=undefined&amp;wbdisable=true" TargetMode="External"/><Relationship Id="rId381" Type="http://schemas.openxmlformats.org/officeDocument/2006/relationships/hyperlink" Target="https://www.cer-rec.gc.ca/fr/securite-environnement/rendement-lindustrie/avis-securite-dinformation/avis-dinformation/2012/archive/avis-dinformation-loffice-national-lenergie-neb-ia-2012-01-cours-survie-cours-devacuation-dhelicoptere-submerge.pdf" TargetMode="External"/><Relationship Id="rId380" Type="http://schemas.openxmlformats.org/officeDocument/2006/relationships/hyperlink" Target="https://legislation.nimonikapp.com/legislations/173020/legislation_texts" TargetMode="External"/><Relationship Id="rId379" Type="http://schemas.openxmlformats.org/officeDocument/2006/relationships/hyperlink" Target="https://www.cer-rec.gc.ca/en/safety-environment/industry-performance/information-safety-advisories/information-advisory/2012/archive/national-energy-board-information-advisory-neb-ia-2012-01-survival-helicopter-underwater-escape-training.html" TargetMode="External"/><Relationship Id="rId374" Type="http://schemas.openxmlformats.org/officeDocument/2006/relationships/hyperlink" Target="https://www.neb-one.gc.ca/sftnvrnmnt/sft/dvsr/nbnfrmtndvsr/index-eng.html?=undefined&amp;wbdisable=true" TargetMode="External"/><Relationship Id="rId373" Type="http://schemas.openxmlformats.org/officeDocument/2006/relationships/hyperlink" Target="https://neb-one.gc.ca/en/safety-environment/industry-performance/information-safety-advisories/information-advisory/2019/national-energy-board-information-advisory-neb-ia-2019-002.pdf" TargetMode="External"/><Relationship Id="rId372" Type="http://schemas.openxmlformats.org/officeDocument/2006/relationships/hyperlink" Target="https://legislation.nimonikapp.com/legislations/4263/legislation_texts" TargetMode="External"/><Relationship Id="rId371" Type="http://schemas.openxmlformats.org/officeDocument/2006/relationships/hyperlink" Target="https://www.aboutpipelines.com/wp-content/uploads/2016/05/Response-Time-Guideline_Final.pdf" TargetMode="External"/><Relationship Id="rId378" Type="http://schemas.openxmlformats.org/officeDocument/2006/relationships/hyperlink" Target="https://www.cer-rec.gc.ca/en/safety-environment/industry-performance/information-safety-advisories/information-advisory/2012/archive/national-energy-board-information-advisory-neb-ia-2012-01-survival-helicopter-underwater-escape-training.pdf" TargetMode="External"/><Relationship Id="rId377" Type="http://schemas.openxmlformats.org/officeDocument/2006/relationships/hyperlink" Target="https://legislation.nimonikapp.com/legislations/4264/legislation_texts" TargetMode="External"/><Relationship Id="rId376" Type="http://schemas.openxmlformats.org/officeDocument/2006/relationships/hyperlink" Target="https://www.cer-rec.gc.ca/sftnvrnmnt/sft/dvsr/nbnfrmtndvsr/index-fra.html?=undefined&amp;wbdisable=true" TargetMode="External"/><Relationship Id="rId375" Type="http://schemas.openxmlformats.org/officeDocument/2006/relationships/hyperlink" Target="https://www.cer-rec.gc.ca/sftnvrnmnt/sft/dvsr/nbnfrmtndvsr/2011/nb_ia_2011_001-fra.pdf" TargetMode="External"/><Relationship Id="rId396" Type="http://schemas.openxmlformats.org/officeDocument/2006/relationships/hyperlink" Target="https://canlii.ca/t/8tmq" TargetMode="External"/><Relationship Id="rId395" Type="http://schemas.openxmlformats.org/officeDocument/2006/relationships/hyperlink" Target="https://legislation.nimonikapp.com/legislations/4274/legislation_texts" TargetMode="External"/><Relationship Id="rId394" Type="http://schemas.openxmlformats.org/officeDocument/2006/relationships/hyperlink" Target="https://www.canlii.org/fr/ca/legis/regl/dors-88-347/derniere/dors-88-347.html" TargetMode="External"/><Relationship Id="rId393" Type="http://schemas.openxmlformats.org/officeDocument/2006/relationships/hyperlink" Target="https://legislation.nimonikapp.com/legislations/439530/legislation_texts" TargetMode="External"/><Relationship Id="rId399" Type="http://schemas.openxmlformats.org/officeDocument/2006/relationships/hyperlink" Target="https://legislation.nimonikapp.com/legislations/4275/legislation_texts" TargetMode="External"/><Relationship Id="rId398" Type="http://schemas.openxmlformats.org/officeDocument/2006/relationships/hyperlink" Target="https://canlii.ca/t/djr2" TargetMode="External"/><Relationship Id="rId397" Type="http://schemas.openxmlformats.org/officeDocument/2006/relationships/hyperlink" Target="https://legislation.nimonikapp.com/legislations/173113/legislation_texts" TargetMode="External"/><Relationship Id="rId1730" Type="http://schemas.openxmlformats.org/officeDocument/2006/relationships/hyperlink" Target="https://legislation.nimonikapp.com/legislations/529257/legislation_texts" TargetMode="External"/><Relationship Id="rId1731" Type="http://schemas.openxmlformats.org/officeDocument/2006/relationships/hyperlink" Target="https://canlii.ca/t/7xw7" TargetMode="External"/><Relationship Id="rId1732" Type="http://schemas.openxmlformats.org/officeDocument/2006/relationships/hyperlink" Target="https://lois-laws.justice.gc.ca/eng/regulations/SOR-2003-192/FullText.html" TargetMode="External"/><Relationship Id="rId1733" Type="http://schemas.openxmlformats.org/officeDocument/2006/relationships/hyperlink" Target="https://legislation.nimonikapp.com/legislations/529258/legislation_texts" TargetMode="External"/><Relationship Id="rId1734" Type="http://schemas.openxmlformats.org/officeDocument/2006/relationships/hyperlink" Target="https://canlii.ca/t/cn0k" TargetMode="External"/><Relationship Id="rId1735" Type="http://schemas.openxmlformats.org/officeDocument/2006/relationships/hyperlink" Target="https://lois-laws.justice.gc.ca/fra/reglements/DORS-2003-192/TexteComplet.html" TargetMode="External"/><Relationship Id="rId1736" Type="http://schemas.openxmlformats.org/officeDocument/2006/relationships/hyperlink" Target="https://legislation.nimonikapp.com/legislations/529259/legislation_texts" TargetMode="External"/><Relationship Id="rId1737" Type="http://schemas.openxmlformats.org/officeDocument/2006/relationships/hyperlink" Target="https://canlii.ca/t/8014" TargetMode="External"/><Relationship Id="rId1738" Type="http://schemas.openxmlformats.org/officeDocument/2006/relationships/hyperlink" Target="https://lois-laws.justice.gc.ca/eng/regulations/SOR-90-774/FullText.html" TargetMode="External"/><Relationship Id="rId1739" Type="http://schemas.openxmlformats.org/officeDocument/2006/relationships/hyperlink" Target="https://legislation.nimonikapp.com/legislations/529260/legislation_texts" TargetMode="External"/><Relationship Id="rId1720" Type="http://schemas.openxmlformats.org/officeDocument/2006/relationships/hyperlink" Target="https://laws-lois.justice.gc.ca/eng/regulations/SOR-2016-21/FullText.html" TargetMode="External"/><Relationship Id="rId1721" Type="http://schemas.openxmlformats.org/officeDocument/2006/relationships/hyperlink" Target="https://legislation.nimonikapp.com/legislations/529254/legislation_texts" TargetMode="External"/><Relationship Id="rId1722" Type="http://schemas.openxmlformats.org/officeDocument/2006/relationships/hyperlink" Target="https://canlii.ca/t/dn59" TargetMode="External"/><Relationship Id="rId1723" Type="http://schemas.openxmlformats.org/officeDocument/2006/relationships/hyperlink" Target="https://laws-lois.justice.gc.ca/fra/reglements/DORS-2016-21/TexteComplet.html" TargetMode="External"/><Relationship Id="rId1724" Type="http://schemas.openxmlformats.org/officeDocument/2006/relationships/hyperlink" Target="https://legislation.nimonikapp.com/legislations/529255/legislation_texts" TargetMode="External"/><Relationship Id="rId1725" Type="http://schemas.openxmlformats.org/officeDocument/2006/relationships/hyperlink" Target="https://canlii.ca/t/7zt6" TargetMode="External"/><Relationship Id="rId1726" Type="http://schemas.openxmlformats.org/officeDocument/2006/relationships/hyperlink" Target="https://laws-lois.justice.gc.ca/eng/regulations/SOR-88-263/FullText.html" TargetMode="External"/><Relationship Id="rId1727" Type="http://schemas.openxmlformats.org/officeDocument/2006/relationships/hyperlink" Target="https://legislation.nimonikapp.com/legislations/529256/legislation_texts" TargetMode="External"/><Relationship Id="rId1728" Type="http://schemas.openxmlformats.org/officeDocument/2006/relationships/hyperlink" Target="https://canlii.ca/t/cnxj" TargetMode="External"/><Relationship Id="rId1729" Type="http://schemas.openxmlformats.org/officeDocument/2006/relationships/hyperlink" Target="https://laws-lois.justice.gc.ca/fra/reglements/DORS-88-263/TexteComplet.html" TargetMode="External"/><Relationship Id="rId1752" Type="http://schemas.openxmlformats.org/officeDocument/2006/relationships/hyperlink" Target="https://www.princeedwardisland.ca/sites/default/files/legislation/O%2605-4-Royalties%20Order%20Regulations.pdf" TargetMode="External"/><Relationship Id="rId1753" Type="http://schemas.openxmlformats.org/officeDocument/2006/relationships/hyperlink" Target="https://legislation.nimonikapp.com/legislations/534824/legislation_texts" TargetMode="External"/><Relationship Id="rId1754" Type="http://schemas.openxmlformats.org/officeDocument/2006/relationships/hyperlink" Target="https://canlii.ca/t/8dbt" TargetMode="External"/><Relationship Id="rId1755" Type="http://schemas.openxmlformats.org/officeDocument/2006/relationships/hyperlink" Target="https://www.princeedwardisland.ca/sites/default/files/legislation/m-07-mineral_resources_act.pdf" TargetMode="External"/><Relationship Id="rId1756" Type="http://schemas.openxmlformats.org/officeDocument/2006/relationships/hyperlink" Target="https://legislation.nimonikapp.com/legislations/534843/legislation_texts" TargetMode="External"/><Relationship Id="rId1757" Type="http://schemas.openxmlformats.org/officeDocument/2006/relationships/hyperlink" Target="https://canlii.ca/t/8drf" TargetMode="External"/><Relationship Id="rId1758" Type="http://schemas.openxmlformats.org/officeDocument/2006/relationships/hyperlink" Target="https://www.princeedwardisland.ca/sites/default/files/legislation/M%2607-Mineral%20Resources%20Act%20Work%20Requirements%20Regulations.pdf" TargetMode="External"/><Relationship Id="rId1759" Type="http://schemas.openxmlformats.org/officeDocument/2006/relationships/hyperlink" Target="https://legislation.nimonikapp.com/legislations/534891/legislation_texts" TargetMode="External"/><Relationship Id="rId808" Type="http://schemas.openxmlformats.org/officeDocument/2006/relationships/hyperlink" Target="https://legislation.nimonikapp.com/legislations/202392/legislation_texts" TargetMode="External"/><Relationship Id="rId807" Type="http://schemas.openxmlformats.org/officeDocument/2006/relationships/hyperlink" Target="http://canlii.ca/t/dwck" TargetMode="External"/><Relationship Id="rId806" Type="http://schemas.openxmlformats.org/officeDocument/2006/relationships/hyperlink" Target="https://legislation.nimonikapp.com/legislations/198963/legislation_texts" TargetMode="External"/><Relationship Id="rId805" Type="http://schemas.openxmlformats.org/officeDocument/2006/relationships/hyperlink" Target="http://canlii.ca/t/9687" TargetMode="External"/><Relationship Id="rId809" Type="http://schemas.openxmlformats.org/officeDocument/2006/relationships/hyperlink" Target="http://canlii.ca/t/8wns" TargetMode="External"/><Relationship Id="rId800" Type="http://schemas.openxmlformats.org/officeDocument/2006/relationships/hyperlink" Target="https://store.csagroup.org/ccrz__ProductDetails?viewState=DetailView&amp;cartID=&amp;portalUser=&amp;store=&amp;cclcl=en_US&amp;sku=Z245.15-17" TargetMode="External"/><Relationship Id="rId804" Type="http://schemas.openxmlformats.org/officeDocument/2006/relationships/hyperlink" Target="https://legislation.nimonikapp.com/legislations/198962/legislation_texts" TargetMode="External"/><Relationship Id="rId803" Type="http://schemas.openxmlformats.org/officeDocument/2006/relationships/hyperlink" Target="https://www.csagroup.org/fr/store/product/Z245.15-17/" TargetMode="External"/><Relationship Id="rId802" Type="http://schemas.openxmlformats.org/officeDocument/2006/relationships/hyperlink" Target="https://legislation.nimonikapp.com/legislations/439538/legislation_texts" TargetMode="External"/><Relationship Id="rId801" Type="http://schemas.openxmlformats.org/officeDocument/2006/relationships/hyperlink" Target="http://ca-csaz245.15-17.fr" TargetMode="External"/><Relationship Id="rId1750" Type="http://schemas.openxmlformats.org/officeDocument/2006/relationships/hyperlink" Target="https://legislation.nimonikapp.com/legislations/529408/legislation_texts" TargetMode="External"/><Relationship Id="rId1751" Type="http://schemas.openxmlformats.org/officeDocument/2006/relationships/hyperlink" Target="https://canlii.ca/t/8dkt" TargetMode="External"/><Relationship Id="rId1741" Type="http://schemas.openxmlformats.org/officeDocument/2006/relationships/hyperlink" Target="https://lois-laws.justice.gc.ca/fra/reglements/DORS-90-774/TexteComplet.html" TargetMode="External"/><Relationship Id="rId1742" Type="http://schemas.openxmlformats.org/officeDocument/2006/relationships/hyperlink" Target="https://canlii.ca/t/8dr6" TargetMode="External"/><Relationship Id="rId1743" Type="http://schemas.openxmlformats.org/officeDocument/2006/relationships/hyperlink" Target="https://www.princeedwardisland.ca/sites/default/files/legislation/O%2605F-Oil%20and%20Natural%20Gas%20Act%20Fees%20and%20Rentals%20Regulations.pdf" TargetMode="External"/><Relationship Id="rId1744" Type="http://schemas.openxmlformats.org/officeDocument/2006/relationships/hyperlink" Target="https://legislation.nimonikapp.com/legislations/529406/legislation_texts" TargetMode="External"/><Relationship Id="rId1745" Type="http://schemas.openxmlformats.org/officeDocument/2006/relationships/hyperlink" Target="https://canlii.ca/t/8djm" TargetMode="External"/><Relationship Id="rId1746" Type="http://schemas.openxmlformats.org/officeDocument/2006/relationships/hyperlink" Target="https://www.princeedwardisland.ca/sites/default/files/legislation/O%2605-1-Oil%20and%20Natural%20Gas%20Act%20Forms%20Regulations.pdf" TargetMode="External"/><Relationship Id="rId1747" Type="http://schemas.openxmlformats.org/officeDocument/2006/relationships/hyperlink" Target="https://legislation.nimonikapp.com/legislations/529407/legislation_texts" TargetMode="External"/><Relationship Id="rId1748" Type="http://schemas.openxmlformats.org/officeDocument/2006/relationships/hyperlink" Target="https://canlii.ca/t/8dp8" TargetMode="External"/><Relationship Id="rId1749" Type="http://schemas.openxmlformats.org/officeDocument/2006/relationships/hyperlink" Target="https://www.princeedwardisland.ca/sites/default/files/legislation/O%2605-3-Oil%20and%20Natural%20Gas%20Act%20Permit%2C%20Lease%20and%20Survey%20System%20Regulations.pdf" TargetMode="External"/><Relationship Id="rId1740" Type="http://schemas.openxmlformats.org/officeDocument/2006/relationships/hyperlink" Target="https://canlii.ca/t/cp4g" TargetMode="External"/><Relationship Id="rId1710" Type="http://schemas.openxmlformats.org/officeDocument/2006/relationships/hyperlink" Target="https://canlii.ca/t/cktc" TargetMode="External"/><Relationship Id="rId1711" Type="http://schemas.openxmlformats.org/officeDocument/2006/relationships/hyperlink" Target="https://laws-lois.justice.gc.ca/fra/lois/h-3.7/TexteComplet.html" TargetMode="External"/><Relationship Id="rId1712" Type="http://schemas.openxmlformats.org/officeDocument/2006/relationships/hyperlink" Target="https://legislation.nimonikapp.com/legislations/529251/legislation_texts" TargetMode="External"/><Relationship Id="rId1713" Type="http://schemas.openxmlformats.org/officeDocument/2006/relationships/hyperlink" Target="https://canlii.ca/t/80f4" TargetMode="External"/><Relationship Id="rId1714" Type="http://schemas.openxmlformats.org/officeDocument/2006/relationships/hyperlink" Target="https://laws.justice.gc.ca/eng/regulations/sor-95-100/FullText.html" TargetMode="External"/><Relationship Id="rId1715" Type="http://schemas.openxmlformats.org/officeDocument/2006/relationships/hyperlink" Target="https://legislation.nimonikapp.com/legislations/529252/legislation_texts" TargetMode="External"/><Relationship Id="rId1716" Type="http://schemas.openxmlformats.org/officeDocument/2006/relationships/hyperlink" Target="https://canlii.ca/t/cpjg" TargetMode="External"/><Relationship Id="rId1717" Type="http://schemas.openxmlformats.org/officeDocument/2006/relationships/hyperlink" Target="https://laws.justice.gc.ca/fra/reglements/DORS-95-100/TexteComplet.html" TargetMode="External"/><Relationship Id="rId1718" Type="http://schemas.openxmlformats.org/officeDocument/2006/relationships/hyperlink" Target="https://legislation.nimonikapp.com/legislations/529253/legislation_texts" TargetMode="External"/><Relationship Id="rId1719" Type="http://schemas.openxmlformats.org/officeDocument/2006/relationships/hyperlink" Target="https://canlii.ca/t/8z1z" TargetMode="External"/><Relationship Id="rId1700" Type="http://schemas.openxmlformats.org/officeDocument/2006/relationships/hyperlink" Target="https://legislation.nimonikapp.com/legislations/527752/legislation_texts" TargetMode="External"/><Relationship Id="rId1701" Type="http://schemas.openxmlformats.org/officeDocument/2006/relationships/hyperlink" Target="https://canlii.ca/t/8d0w" TargetMode="External"/><Relationship Id="rId1702" Type="http://schemas.openxmlformats.org/officeDocument/2006/relationships/hyperlink" Target="https://www.assembly.nl.ca/Legislation/sr/Regulations/rc960022.htm" TargetMode="External"/><Relationship Id="rId1703" Type="http://schemas.openxmlformats.org/officeDocument/2006/relationships/hyperlink" Target="https://legislation.nimonikapp.com/legislations/527753/legislation_texts" TargetMode="External"/><Relationship Id="rId1704" Type="http://schemas.openxmlformats.org/officeDocument/2006/relationships/hyperlink" Target="https://canlii.ca/t/8crd" TargetMode="External"/><Relationship Id="rId1705" Type="http://schemas.openxmlformats.org/officeDocument/2006/relationships/hyperlink" Target="https://www.assembly.nl.ca/Legislation/sr/Regulations/rc961018.htm" TargetMode="External"/><Relationship Id="rId1706" Type="http://schemas.openxmlformats.org/officeDocument/2006/relationships/hyperlink" Target="https://legislation.nimonikapp.com/legislations/529249/legislation_texts" TargetMode="External"/><Relationship Id="rId1707" Type="http://schemas.openxmlformats.org/officeDocument/2006/relationships/hyperlink" Target="https://canlii.ca/t/7vq1" TargetMode="External"/><Relationship Id="rId1708" Type="http://schemas.openxmlformats.org/officeDocument/2006/relationships/hyperlink" Target="https://laws-lois.justice.gc.ca/eng/acts/H-3.7/FullText.html" TargetMode="External"/><Relationship Id="rId1709" Type="http://schemas.openxmlformats.org/officeDocument/2006/relationships/hyperlink" Target="https://legislation.nimonikapp.com/legislations/529250/legislation_texts" TargetMode="External"/><Relationship Id="rId40" Type="http://schemas.openxmlformats.org/officeDocument/2006/relationships/hyperlink" Target="https://www.canlii.org/en/ca/laws/regu/sor-2000-43/latest/sor-2000-43.html" TargetMode="External"/><Relationship Id="rId1334" Type="http://schemas.openxmlformats.org/officeDocument/2006/relationships/hyperlink" Target="https://canlii.ca/t/8sm0" TargetMode="External"/><Relationship Id="rId1335" Type="http://schemas.openxmlformats.org/officeDocument/2006/relationships/hyperlink" Target="https://nslegislature.ca/sites/default/files/legc/PDFs/annual%20statutes/2013%20Fall/c036.pdf" TargetMode="External"/><Relationship Id="rId42" Type="http://schemas.openxmlformats.org/officeDocument/2006/relationships/hyperlink" Target="https://canlii.ca/t/cmq0" TargetMode="External"/><Relationship Id="rId1336" Type="http://schemas.openxmlformats.org/officeDocument/2006/relationships/hyperlink" Target="https://legislation.nimonikapp.com/legislations/460238/legislation_texts" TargetMode="External"/><Relationship Id="rId41" Type="http://schemas.openxmlformats.org/officeDocument/2006/relationships/hyperlink" Target="https://legislation.nimonikapp.com/legislations/172664/legislation_texts" TargetMode="External"/><Relationship Id="rId1337" Type="http://schemas.openxmlformats.org/officeDocument/2006/relationships/hyperlink" Target="https://canlii.ca/t/87x0" TargetMode="External"/><Relationship Id="rId44" Type="http://schemas.openxmlformats.org/officeDocument/2006/relationships/hyperlink" Target="https://www.canlii.org/en/ca/laws/regu/sor-90-247/latest/sor-90-247.html" TargetMode="External"/><Relationship Id="rId1338" Type="http://schemas.openxmlformats.org/officeDocument/2006/relationships/hyperlink" Target="https://nslegislature.ca/sites/default/files/legc/statutes/petrol.htm" TargetMode="External"/><Relationship Id="rId43" Type="http://schemas.openxmlformats.org/officeDocument/2006/relationships/hyperlink" Target="https://legislation.nimonikapp.com/legislations/807/legislation_texts" TargetMode="External"/><Relationship Id="rId1339" Type="http://schemas.openxmlformats.org/officeDocument/2006/relationships/hyperlink" Target="https://legislation.nimonikapp.com/legislations/460240/legislation_texts" TargetMode="External"/><Relationship Id="rId46" Type="http://schemas.openxmlformats.org/officeDocument/2006/relationships/hyperlink" Target="https://canlii.ca/t/cp35" TargetMode="External"/><Relationship Id="rId45" Type="http://schemas.openxmlformats.org/officeDocument/2006/relationships/hyperlink" Target="https://legislation.nimonikapp.com/legislations/172665/legislation_texts" TargetMode="External"/><Relationship Id="rId745" Type="http://schemas.openxmlformats.org/officeDocument/2006/relationships/hyperlink" Target="http://www.bclaws.ca/Recon/document/ID/freeside/14_10_82" TargetMode="External"/><Relationship Id="rId744" Type="http://schemas.openxmlformats.org/officeDocument/2006/relationships/hyperlink" Target="https://www.canlii.org/en/bc/laws/regu/bc-reg-10-82/latest/bc-reg-10-82.html?resultIndex=1" TargetMode="External"/><Relationship Id="rId743" Type="http://schemas.openxmlformats.org/officeDocument/2006/relationships/hyperlink" Target="https://legislation.nimonikapp.com/legislations/197943/legislation_texts" TargetMode="External"/><Relationship Id="rId742" Type="http://schemas.openxmlformats.org/officeDocument/2006/relationships/hyperlink" Target="http://www.qp.alberta.ca/documents/Regs/2011_068.pdf" TargetMode="External"/><Relationship Id="rId749" Type="http://schemas.openxmlformats.org/officeDocument/2006/relationships/hyperlink" Target="https://static.aer.ca/prd/documents/directives/Directive042.pdf" TargetMode="External"/><Relationship Id="rId748" Type="http://schemas.openxmlformats.org/officeDocument/2006/relationships/hyperlink" Target="https://legislation.nimonikapp.com/legislations/197946/legislation_texts" TargetMode="External"/><Relationship Id="rId747" Type="http://schemas.openxmlformats.org/officeDocument/2006/relationships/hyperlink" Target="https://static.aer.ca/prd/documents/manuals/Direction_002.pdf" TargetMode="External"/><Relationship Id="rId746" Type="http://schemas.openxmlformats.org/officeDocument/2006/relationships/hyperlink" Target="https://legislation.nimonikapp.com/legislations/197945/legislation_texts" TargetMode="External"/><Relationship Id="rId48" Type="http://schemas.openxmlformats.org/officeDocument/2006/relationships/hyperlink" Target="https://www.canlii.org/en/ca/laws/regu/sor-2010-189/latest/sor-2010-189.html" TargetMode="External"/><Relationship Id="rId47" Type="http://schemas.openxmlformats.org/officeDocument/2006/relationships/hyperlink" Target="https://legislation.nimonikapp.com/legislations/824/legislation_texts" TargetMode="External"/><Relationship Id="rId49" Type="http://schemas.openxmlformats.org/officeDocument/2006/relationships/hyperlink" Target="https://legislation.nimonikapp.com/legislations/172643/legislation_texts" TargetMode="External"/><Relationship Id="rId741" Type="http://schemas.openxmlformats.org/officeDocument/2006/relationships/hyperlink" Target="https://www.canlii.org/en/ab/laws/regu/alta-reg-68-2011/latest/alta-reg-68-2011.html?autocompleteStr=Carbon%20Sequestration%20Tenure%20Regulation&amp;autocompletePos=1" TargetMode="External"/><Relationship Id="rId1330" Type="http://schemas.openxmlformats.org/officeDocument/2006/relationships/hyperlink" Target="https://legislation.nimonikapp.com/legislations/460235/legislation_texts" TargetMode="External"/><Relationship Id="rId740" Type="http://schemas.openxmlformats.org/officeDocument/2006/relationships/hyperlink" Target="https://legislation.nimonikapp.com/legislations/197942/legislation_texts" TargetMode="External"/><Relationship Id="rId1331" Type="http://schemas.openxmlformats.org/officeDocument/2006/relationships/hyperlink" Target="https://canlii.ca/t/87fd" TargetMode="External"/><Relationship Id="rId1332" Type="http://schemas.openxmlformats.org/officeDocument/2006/relationships/hyperlink" Target="https://nslegislature.ca/sites/default/files/legc/statutes/energy_m.htm" TargetMode="External"/><Relationship Id="rId1333" Type="http://schemas.openxmlformats.org/officeDocument/2006/relationships/hyperlink" Target="https://legislation.nimonikapp.com/legislations/460236/legislation_texts" TargetMode="External"/><Relationship Id="rId1323" Type="http://schemas.openxmlformats.org/officeDocument/2006/relationships/hyperlink" Target="https://www.princeedwardisland.ca/sites/default/files/legislation/O%2605-2-Oil%20and%20Natural%20Gas%20Act%20Oil%20and%20Gas%20Conservation%20Regulations.pdf" TargetMode="External"/><Relationship Id="rId1324" Type="http://schemas.openxmlformats.org/officeDocument/2006/relationships/hyperlink" Target="https://legislation.nimonikapp.com/legislations/455693/legislation_texts" TargetMode="External"/><Relationship Id="rId31" Type="http://schemas.openxmlformats.org/officeDocument/2006/relationships/hyperlink" Target="https://legislation.nimonikapp.com/legislations/604/legislation_texts" TargetMode="External"/><Relationship Id="rId1325" Type="http://schemas.openxmlformats.org/officeDocument/2006/relationships/hyperlink" Target="https://www.alberta.ca/release.cfm?xID=80235D49AC2B9-DF2D-538A-247BE40804B813AE" TargetMode="External"/><Relationship Id="rId30" Type="http://schemas.openxmlformats.org/officeDocument/2006/relationships/hyperlink" Target="https://www.canlii.org/en/mb/laws/stat/ccsm-c-b40/latest/ccsm-c-b40.html" TargetMode="External"/><Relationship Id="rId1326" Type="http://schemas.openxmlformats.org/officeDocument/2006/relationships/hyperlink" Target="https://legislation.nimonikapp.com/legislations/457404/legislation_texts" TargetMode="External"/><Relationship Id="rId33" Type="http://schemas.openxmlformats.org/officeDocument/2006/relationships/hyperlink" Target="https://legislation.nimonikapp.com/legislations/609/legislation_texts" TargetMode="External"/><Relationship Id="rId1327" Type="http://schemas.openxmlformats.org/officeDocument/2006/relationships/hyperlink" Target="https://ero.ontario.ca/notice/019-3443" TargetMode="External"/><Relationship Id="rId32" Type="http://schemas.openxmlformats.org/officeDocument/2006/relationships/hyperlink" Target="https://www.canlii.org/en/sk/laws/stat/rss-1978-c-o-2/latest/rss-1978-c-o-2.html" TargetMode="External"/><Relationship Id="rId1328" Type="http://schemas.openxmlformats.org/officeDocument/2006/relationships/hyperlink" Target="https://legislation.nimonikapp.com/legislations/459174/legislation_texts" TargetMode="External"/><Relationship Id="rId35" Type="http://schemas.openxmlformats.org/officeDocument/2006/relationships/hyperlink" Target="https://legislation.nimonikapp.com/legislations/732/legislation_texts" TargetMode="External"/><Relationship Id="rId1329" Type="http://schemas.openxmlformats.org/officeDocument/2006/relationships/hyperlink" Target="https://docs.assembly.ab.ca/LADDAR_files/docs/bills/bill/legislature_30/session_2/20200225_bill-082.pdf" TargetMode="External"/><Relationship Id="rId34" Type="http://schemas.openxmlformats.org/officeDocument/2006/relationships/hyperlink" Target="https://canlii.ca/t/824r" TargetMode="External"/><Relationship Id="rId739" Type="http://schemas.openxmlformats.org/officeDocument/2006/relationships/hyperlink" Target="http://canlii.ca/t/cpms" TargetMode="External"/><Relationship Id="rId734" Type="http://schemas.openxmlformats.org/officeDocument/2006/relationships/hyperlink" Target="https://legislation.nimonikapp.com/legislations/197939/legislation_texts" TargetMode="External"/><Relationship Id="rId733" Type="http://schemas.openxmlformats.org/officeDocument/2006/relationships/hyperlink" Target="https://laws-lois.justice.gc.ca/eng/regulations/SOR-87-331/page-1.html" TargetMode="External"/><Relationship Id="rId732" Type="http://schemas.openxmlformats.org/officeDocument/2006/relationships/hyperlink" Target="http://canlii.ca/t/7zrm" TargetMode="External"/><Relationship Id="rId731" Type="http://schemas.openxmlformats.org/officeDocument/2006/relationships/hyperlink" Target="https://legislation.nimonikapp.com/legislations/197938/legislation_texts" TargetMode="External"/><Relationship Id="rId738" Type="http://schemas.openxmlformats.org/officeDocument/2006/relationships/hyperlink" Target="https://laws-lois.justice.gc.ca/eng/regulations/SOR-96-118/page-1.html" TargetMode="External"/><Relationship Id="rId737" Type="http://schemas.openxmlformats.org/officeDocument/2006/relationships/hyperlink" Target="https://www.canlii.org/en/ca/laws/regu/sor-96-118/latest/sor-96-118.html?autocompleteStr=Canada%20Oil%20and%20Gas%20Installations%20Reg&amp;autocompletePos=1" TargetMode="External"/><Relationship Id="rId736" Type="http://schemas.openxmlformats.org/officeDocument/2006/relationships/hyperlink" Target="https://legislation.nimonikapp.com/legislations/197940/legislation_texts" TargetMode="External"/><Relationship Id="rId735" Type="http://schemas.openxmlformats.org/officeDocument/2006/relationships/hyperlink" Target="http://canlii.ca/t/cnvz" TargetMode="External"/><Relationship Id="rId37" Type="http://schemas.openxmlformats.org/officeDocument/2006/relationships/hyperlink" Target="https://legislation.nimonikapp.com/legislations/734/legislation_texts" TargetMode="External"/><Relationship Id="rId36" Type="http://schemas.openxmlformats.org/officeDocument/2006/relationships/hyperlink" Target="https://www.canlii.org/en/sk/laws/stat/ss-2012-c-r-19.001/latest/ss-2012-c-r-19.001.html" TargetMode="External"/><Relationship Id="rId39" Type="http://schemas.openxmlformats.org/officeDocument/2006/relationships/hyperlink" Target="https://legislation.nimonikapp.com/legislations/806/legislation_texts" TargetMode="External"/><Relationship Id="rId38" Type="http://schemas.openxmlformats.org/officeDocument/2006/relationships/hyperlink" Target="https://canlii.ca/t/wdp" TargetMode="External"/><Relationship Id="rId730" Type="http://schemas.openxmlformats.org/officeDocument/2006/relationships/hyperlink" Target="http://canlii.ca/t/dbrm" TargetMode="External"/><Relationship Id="rId1320" Type="http://schemas.openxmlformats.org/officeDocument/2006/relationships/hyperlink" Target="https://canlii.ca/t/8d4x" TargetMode="External"/><Relationship Id="rId1321" Type="http://schemas.openxmlformats.org/officeDocument/2006/relationships/hyperlink" Target="https://www.princeedwardisland.ca/sites/default/files/legislation/o-05-oil_and_natural_gas_act.pdf" TargetMode="External"/><Relationship Id="rId1322" Type="http://schemas.openxmlformats.org/officeDocument/2006/relationships/hyperlink" Target="https://canlii.ca/t/8dht" TargetMode="External"/><Relationship Id="rId1356" Type="http://schemas.openxmlformats.org/officeDocument/2006/relationships/hyperlink" Target="https://legislation.nimonikapp.com/legislations/460247/legislation_texts" TargetMode="External"/><Relationship Id="rId1357" Type="http://schemas.openxmlformats.org/officeDocument/2006/relationships/hyperlink" Target="https://canlii.ca/t/86d7" TargetMode="External"/><Relationship Id="rId20" Type="http://schemas.openxmlformats.org/officeDocument/2006/relationships/hyperlink" Target="https://legislation.nimonikapp.com/legislations/288/legislation_texts" TargetMode="External"/><Relationship Id="rId1358" Type="http://schemas.openxmlformats.org/officeDocument/2006/relationships/hyperlink" Target="https://novascotia.ca/just/regulations/regs/prondril.htm" TargetMode="External"/><Relationship Id="rId1359" Type="http://schemas.openxmlformats.org/officeDocument/2006/relationships/hyperlink" Target="https://legislation.nimonikapp.com/legislations/460248/legislation_texts" TargetMode="External"/><Relationship Id="rId22" Type="http://schemas.openxmlformats.org/officeDocument/2006/relationships/hyperlink" Target="https://canlii.ca/t/cl11" TargetMode="External"/><Relationship Id="rId21" Type="http://schemas.openxmlformats.org/officeDocument/2006/relationships/hyperlink" Target="https://www.canlii.org/en/ca/laws/stat/sc-2001-c-26/latest/sc-2001-c-26.html" TargetMode="External"/><Relationship Id="rId24" Type="http://schemas.openxmlformats.org/officeDocument/2006/relationships/hyperlink" Target="https://www.canlii.org/en/nl/laws/stat/rsnl-1990-c-p-10/latest/" TargetMode="External"/><Relationship Id="rId23" Type="http://schemas.openxmlformats.org/officeDocument/2006/relationships/hyperlink" Target="https://legislation.nimonikapp.com/legislations/294/legislation_texts" TargetMode="External"/><Relationship Id="rId767" Type="http://schemas.openxmlformats.org/officeDocument/2006/relationships/hyperlink" Target="http://web2.gov.mb.ca/laws/statutes/ccsm/o034e.php" TargetMode="External"/><Relationship Id="rId766" Type="http://schemas.openxmlformats.org/officeDocument/2006/relationships/hyperlink" Target="http://canlii.ca/t/8gzj" TargetMode="External"/><Relationship Id="rId765" Type="http://schemas.openxmlformats.org/officeDocument/2006/relationships/hyperlink" Target="https://legislation.nimonikapp.com/legislations/198652/legislation_texts" TargetMode="External"/><Relationship Id="rId764" Type="http://schemas.openxmlformats.org/officeDocument/2006/relationships/hyperlink" Target="https://static.aer.ca/prd/documents/manuals/Manual014.pdf" TargetMode="External"/><Relationship Id="rId769" Type="http://schemas.openxmlformats.org/officeDocument/2006/relationships/hyperlink" Target="http://canlii.ca/t/87jn" TargetMode="External"/><Relationship Id="rId768" Type="http://schemas.openxmlformats.org/officeDocument/2006/relationships/hyperlink" Target="https://legislation.nimonikapp.com/legislations/198653/legislation_texts" TargetMode="External"/><Relationship Id="rId26" Type="http://schemas.openxmlformats.org/officeDocument/2006/relationships/hyperlink" Target="https://www.canlii.org/en/ab/laws/stat/sa-2009-c-c-2.5/latest/" TargetMode="External"/><Relationship Id="rId25" Type="http://schemas.openxmlformats.org/officeDocument/2006/relationships/hyperlink" Target="https://legislation.nimonikapp.com/legislations/301/legislation_texts" TargetMode="External"/><Relationship Id="rId28" Type="http://schemas.openxmlformats.org/officeDocument/2006/relationships/hyperlink" Target="https://www.canlii.org/en/bc/laws/stat/sbc-2008-c-36/latest/" TargetMode="External"/><Relationship Id="rId1350" Type="http://schemas.openxmlformats.org/officeDocument/2006/relationships/hyperlink" Target="https://www.novascotia.ca/just/REGULATIONS/regs/coprdrill.htm" TargetMode="External"/><Relationship Id="rId27" Type="http://schemas.openxmlformats.org/officeDocument/2006/relationships/hyperlink" Target="https://legislation.nimonikapp.com/legislations/401/legislation_texts" TargetMode="External"/><Relationship Id="rId1351" Type="http://schemas.openxmlformats.org/officeDocument/2006/relationships/hyperlink" Target="https://legislation.nimonikapp.com/legislations/460245/legislation_texts" TargetMode="External"/><Relationship Id="rId763" Type="http://schemas.openxmlformats.org/officeDocument/2006/relationships/hyperlink" Target="https://legislation.nimonikapp.com/legislations/197955/legislation_texts" TargetMode="External"/><Relationship Id="rId1352" Type="http://schemas.openxmlformats.org/officeDocument/2006/relationships/hyperlink" Target="https://canlii.ca/t/86fg" TargetMode="External"/><Relationship Id="rId29" Type="http://schemas.openxmlformats.org/officeDocument/2006/relationships/hyperlink" Target="https://legislation.nimonikapp.com/legislations/542/legislation_texts" TargetMode="External"/><Relationship Id="rId762" Type="http://schemas.openxmlformats.org/officeDocument/2006/relationships/hyperlink" Target="http://canlii.ca/t/cpj7" TargetMode="External"/><Relationship Id="rId1353" Type="http://schemas.openxmlformats.org/officeDocument/2006/relationships/hyperlink" Target="https://novascotia.ca/just/regulations/regs/coprgeop.htm" TargetMode="External"/><Relationship Id="rId761" Type="http://schemas.openxmlformats.org/officeDocument/2006/relationships/hyperlink" Target="https://legislation.nimonikapp.com/legislations/197954/legislation_texts" TargetMode="External"/><Relationship Id="rId1354" Type="http://schemas.openxmlformats.org/officeDocument/2006/relationships/hyperlink" Target="https://canlii.ca/t/86zf" TargetMode="External"/><Relationship Id="rId760" Type="http://schemas.openxmlformats.org/officeDocument/2006/relationships/hyperlink" Target="https://laws-lois.justice.gc.ca/eng/regulations/SOR-94-753/FullText.html" TargetMode="External"/><Relationship Id="rId1355" Type="http://schemas.openxmlformats.org/officeDocument/2006/relationships/hyperlink" Target="https://novascotia.ca/just/regulations/regs/coprinst.htm" TargetMode="External"/><Relationship Id="rId1345" Type="http://schemas.openxmlformats.org/officeDocument/2006/relationships/hyperlink" Target="https://legislation.nimonikapp.com/legislations/460243/legislation_texts" TargetMode="External"/><Relationship Id="rId1346" Type="http://schemas.openxmlformats.org/officeDocument/2006/relationships/hyperlink" Target="https://canlii.ca/t/878t" TargetMode="External"/><Relationship Id="rId1347" Type="http://schemas.openxmlformats.org/officeDocument/2006/relationships/hyperlink" Target="https://novascotia.ca/just/regulations/regs/coprfit.htm" TargetMode="External"/><Relationship Id="rId1348" Type="http://schemas.openxmlformats.org/officeDocument/2006/relationships/hyperlink" Target="https://legislation.nimonikapp.com/legislations/460244/legislation_texts" TargetMode="External"/><Relationship Id="rId11" Type="http://schemas.openxmlformats.org/officeDocument/2006/relationships/hyperlink" Target="https://legislation.nimonikapp.com/legislations/22/legislation_texts" TargetMode="External"/><Relationship Id="rId1349" Type="http://schemas.openxmlformats.org/officeDocument/2006/relationships/hyperlink" Target="https://canlii.ca/t/8mmq" TargetMode="External"/><Relationship Id="rId10" Type="http://schemas.openxmlformats.org/officeDocument/2006/relationships/hyperlink" Target="https://www.neb-one.gc.ca/bts/ctrg/gnnb/nshrppln/index-fra.html" TargetMode="External"/><Relationship Id="rId13" Type="http://schemas.openxmlformats.org/officeDocument/2006/relationships/hyperlink" Target="https://legislation.nimonikapp.com/legislations/172510/legislation_texts" TargetMode="External"/><Relationship Id="rId12" Type="http://schemas.openxmlformats.org/officeDocument/2006/relationships/hyperlink" Target="https://www.canlii.org/en/qc/laws/stat/rsq-c-p-30.01/latest/rsq-c-p-30.01.html" TargetMode="External"/><Relationship Id="rId756" Type="http://schemas.openxmlformats.org/officeDocument/2006/relationships/hyperlink" Target="https://legislation.nimonikapp.com/legislations/197951/legislation_texts" TargetMode="External"/><Relationship Id="rId755" Type="http://schemas.openxmlformats.org/officeDocument/2006/relationships/hyperlink" Target="https://www.aer.ca/documents/directives/Directive023.pdf" TargetMode="External"/><Relationship Id="rId754" Type="http://schemas.openxmlformats.org/officeDocument/2006/relationships/hyperlink" Target="https://legislation.nimonikapp.com/legislations/197950/legislation_texts" TargetMode="External"/><Relationship Id="rId753" Type="http://schemas.openxmlformats.org/officeDocument/2006/relationships/hyperlink" Target="https://static.aer.ca/prd/documents/directives/Directive073.pdf" TargetMode="External"/><Relationship Id="rId759" Type="http://schemas.openxmlformats.org/officeDocument/2006/relationships/hyperlink" Target="https://www.canlii.org/en/ca/laws/regu/sor-94-753/latest/sor-94-753.html?autocompleteStr=Indian%20Oil%20%26%20Gas%20Reg&amp;autocompletePos=1" TargetMode="External"/><Relationship Id="rId758" Type="http://schemas.openxmlformats.org/officeDocument/2006/relationships/hyperlink" Target="https://legislation.nimonikapp.com/legislations/197953/legislation_texts" TargetMode="External"/><Relationship Id="rId757" Type="http://schemas.openxmlformats.org/officeDocument/2006/relationships/hyperlink" Target="https://static.aer.ca/prd/documents/directives/Directive067.pdf" TargetMode="External"/><Relationship Id="rId15" Type="http://schemas.openxmlformats.org/officeDocument/2006/relationships/hyperlink" Target="https://open.alberta.ca/dataset/c5471471-79a3-456b-a183-997692da2576/resource/20518078-a3c2-4881-b6c3-68cdff7ed5a4/download/specifiedgasreportingstandard-may28-2018.pdf" TargetMode="External"/><Relationship Id="rId14" Type="http://schemas.openxmlformats.org/officeDocument/2006/relationships/hyperlink" Target="https://canlii.ca/t/ckbn" TargetMode="External"/><Relationship Id="rId17" Type="http://schemas.openxmlformats.org/officeDocument/2006/relationships/hyperlink" Target="https://canlii.org/en/pe/laws/stat/rspei-1988-c-p-5.1/latest/rspei-1988-c-p-5.1.html" TargetMode="External"/><Relationship Id="rId16" Type="http://schemas.openxmlformats.org/officeDocument/2006/relationships/hyperlink" Target="https://legislation.nimonikapp.com/legislations/261/legislation_texts" TargetMode="External"/><Relationship Id="rId1340" Type="http://schemas.openxmlformats.org/officeDocument/2006/relationships/hyperlink" Target="https://canlii.ca/t/86gx" TargetMode="External"/><Relationship Id="rId19" Type="http://schemas.openxmlformats.org/officeDocument/2006/relationships/hyperlink" Target="https://canlii.org/en/yk/laws/stat/rsy-2002-c-102/latest/rsy-2002-c-102.html" TargetMode="External"/><Relationship Id="rId752" Type="http://schemas.openxmlformats.org/officeDocument/2006/relationships/hyperlink" Target="https://legislation.nimonikapp.com/legislations/197948/legislation_texts" TargetMode="External"/><Relationship Id="rId1341" Type="http://schemas.openxmlformats.org/officeDocument/2006/relationships/hyperlink" Target="https://www.novascotia.ca/JUST/REGULATIONS/regs/ercgas.htm" TargetMode="External"/><Relationship Id="rId18" Type="http://schemas.openxmlformats.org/officeDocument/2006/relationships/hyperlink" Target="https://legislation.nimonikapp.com/legislations/264/legislation_texts" TargetMode="External"/><Relationship Id="rId751" Type="http://schemas.openxmlformats.org/officeDocument/2006/relationships/hyperlink" Target="https://static.aer.ca/prd/documents/directives/Directive047.pdf" TargetMode="External"/><Relationship Id="rId1342" Type="http://schemas.openxmlformats.org/officeDocument/2006/relationships/hyperlink" Target="https://legislation.nimonikapp.com/legislations/460241/legislation_texts" TargetMode="External"/><Relationship Id="rId750" Type="http://schemas.openxmlformats.org/officeDocument/2006/relationships/hyperlink" Target="https://legislation.nimonikapp.com/legislations/197947/legislation_texts" TargetMode="External"/><Relationship Id="rId1343" Type="http://schemas.openxmlformats.org/officeDocument/2006/relationships/hyperlink" Target="https://canlii.ca/t/8701" TargetMode="External"/><Relationship Id="rId1344" Type="http://schemas.openxmlformats.org/officeDocument/2006/relationships/hyperlink" Target="https://novascotia.ca/just/regulations/regs/ercgeoex.htm" TargetMode="External"/><Relationship Id="rId84" Type="http://schemas.openxmlformats.org/officeDocument/2006/relationships/hyperlink" Target="https://store.csagroup.org/ccrz__ProductDetails?viewState=DetailView&amp;cartID=&amp;sku=TSSA%20LF-07&amp;isCSRFlow=true&amp;portalUser=&amp;store=&amp;cclcl=en_US" TargetMode="External"/><Relationship Id="rId1774" Type="http://schemas.openxmlformats.org/officeDocument/2006/relationships/hyperlink" Target="https://www.aer.ca/regulating-development/compliance/inspections-and-audits/epap/epap-references-resources" TargetMode="External"/><Relationship Id="rId83" Type="http://schemas.openxmlformats.org/officeDocument/2006/relationships/hyperlink" Target="https://legislation.nimonikapp.com/legislations/1176/legislation_texts" TargetMode="External"/><Relationship Id="rId1775" Type="http://schemas.openxmlformats.org/officeDocument/2006/relationships/hyperlink" Target="https://legislation.nimonikapp.com/legislations/544871/legislation_texts" TargetMode="External"/><Relationship Id="rId86" Type="http://schemas.openxmlformats.org/officeDocument/2006/relationships/hyperlink" Target="https://www.canlii.org/en/on/laws/regu/o-reg-212-01/latest/o-reg-212-01.html" TargetMode="External"/><Relationship Id="rId1776" Type="http://schemas.openxmlformats.org/officeDocument/2006/relationships/hyperlink" Target="https://publications.saskatchewan.ca/api/v1/products/76167/formats/85293/download" TargetMode="External"/><Relationship Id="rId85" Type="http://schemas.openxmlformats.org/officeDocument/2006/relationships/hyperlink" Target="https://legislation.nimonikapp.com/legislations/1177/legislation_texts" TargetMode="External"/><Relationship Id="rId1777" Type="http://schemas.openxmlformats.org/officeDocument/2006/relationships/hyperlink" Target="https://publications.saskatchewan.ca/" TargetMode="External"/><Relationship Id="rId88" Type="http://schemas.openxmlformats.org/officeDocument/2006/relationships/hyperlink" Target="https://www.canlii.org/en/on/laws/regu/o-reg-215-01/latest/o-reg-215-01.html" TargetMode="External"/><Relationship Id="rId1778" Type="http://schemas.openxmlformats.org/officeDocument/2006/relationships/hyperlink" Target="https://publications.saskatchewan.ca/" TargetMode="External"/><Relationship Id="rId87" Type="http://schemas.openxmlformats.org/officeDocument/2006/relationships/hyperlink" Target="https://legislation.nimonikapp.com/legislations/1179/legislation_texts" TargetMode="External"/><Relationship Id="rId1779" Type="http://schemas.openxmlformats.org/officeDocument/2006/relationships/hyperlink" Target="https://legislation.nimonikapp.com/legislations/544872/legislation_texts" TargetMode="External"/><Relationship Id="rId89" Type="http://schemas.openxmlformats.org/officeDocument/2006/relationships/hyperlink" Target="https://legislation.nimonikapp.com/legislations/1180/legislation_texts" TargetMode="External"/><Relationship Id="rId709" Type="http://schemas.openxmlformats.org/officeDocument/2006/relationships/hyperlink" Target="https://legislation.nimonikapp.com/legislations/197916/legislation_texts" TargetMode="External"/><Relationship Id="rId708" Type="http://schemas.openxmlformats.org/officeDocument/2006/relationships/hyperlink" Target="https://laws-lois.justice.gc.ca/eng/acts/C-7.8/" TargetMode="External"/><Relationship Id="rId707" Type="http://schemas.openxmlformats.org/officeDocument/2006/relationships/hyperlink" Target="http://canlii.ca/t/7vpk" TargetMode="External"/><Relationship Id="rId706" Type="http://schemas.openxmlformats.org/officeDocument/2006/relationships/hyperlink" Target="https://legislation.nimonikapp.com/legislations/197915/legislation_texts" TargetMode="External"/><Relationship Id="rId80" Type="http://schemas.openxmlformats.org/officeDocument/2006/relationships/hyperlink" Target="https://www.canlii.org/en/on/laws/regu/o-reg-217-01/latest/o-reg-217-01.html" TargetMode="External"/><Relationship Id="rId82" Type="http://schemas.openxmlformats.org/officeDocument/2006/relationships/hyperlink" Target="https://canlii.org/en/on/laws/regu/o-reg-220-01/latest/o-reg-220-01.html" TargetMode="External"/><Relationship Id="rId81" Type="http://schemas.openxmlformats.org/officeDocument/2006/relationships/hyperlink" Target="https://legislation.nimonikapp.com/legislations/1174/legislation_texts" TargetMode="External"/><Relationship Id="rId701" Type="http://schemas.openxmlformats.org/officeDocument/2006/relationships/hyperlink" Target="https://static.aer.ca/prd/documents/ids/id2001-03.pdf" TargetMode="External"/><Relationship Id="rId700" Type="http://schemas.openxmlformats.org/officeDocument/2006/relationships/hyperlink" Target="https://legislation.nimonikapp.com/legislations/197186/legislation_texts" TargetMode="External"/><Relationship Id="rId705" Type="http://schemas.openxmlformats.org/officeDocument/2006/relationships/hyperlink" Target="https://publications.saskatchewan.ca/api/v1/products/75523/formats/84453/download" TargetMode="External"/><Relationship Id="rId704" Type="http://schemas.openxmlformats.org/officeDocument/2006/relationships/hyperlink" Target="https://legislation.nimonikapp.com/legislations/197228/legislation_texts" TargetMode="External"/><Relationship Id="rId703" Type="http://schemas.openxmlformats.org/officeDocument/2006/relationships/hyperlink" Target="http://publications.gov.sk.ca/documents/310/85153-Directive%20S-10%20Saskatchewan%20Upstream%20Petroleum%20Industry%20Associated%20Gas%20Conservation%20Directive%20v.1.pdf" TargetMode="External"/><Relationship Id="rId702" Type="http://schemas.openxmlformats.org/officeDocument/2006/relationships/hyperlink" Target="https://legislation.nimonikapp.com/legislations/197227/legislation_texts" TargetMode="External"/><Relationship Id="rId1770" Type="http://schemas.openxmlformats.org/officeDocument/2006/relationships/hyperlink" Target="https://open.alberta.ca/dataset/308ebbe4-b00e-45b5-bc2a-3190c236bb0f/resource/48617178-1d10-4e51-a44c-b4d923962834/download/directiveriverbedarmouring-feb16-2018.pdf" TargetMode="External"/><Relationship Id="rId1771" Type="http://schemas.openxmlformats.org/officeDocument/2006/relationships/hyperlink" Target="https://open.alberta.ca/publications/directive-on-use-of-approvals-to-allow-riverbed-armouring-to-provide-scour-protection-for-pipelines" TargetMode="External"/><Relationship Id="rId1772" Type="http://schemas.openxmlformats.org/officeDocument/2006/relationships/hyperlink" Target="https://legislation.nimonikapp.com/legislations/544870/legislation_texts" TargetMode="External"/><Relationship Id="rId1773" Type="http://schemas.openxmlformats.org/officeDocument/2006/relationships/hyperlink" Target="https://static.aer.ca/prd/documents/enforcement/EPAP_OperatorsHandbook.pdf" TargetMode="External"/><Relationship Id="rId73" Type="http://schemas.openxmlformats.org/officeDocument/2006/relationships/hyperlink" Target="https://legislation.nimonikapp.com/legislations/1044/legislation_texts" TargetMode="External"/><Relationship Id="rId1763" Type="http://schemas.openxmlformats.org/officeDocument/2006/relationships/hyperlink" Target="https://www.leg.bc.ca/content/data%20-%20ldp/Pages/42nd3rd/1st_read/gov37-1.htm" TargetMode="External"/><Relationship Id="rId72" Type="http://schemas.openxmlformats.org/officeDocument/2006/relationships/hyperlink" Target="https://www.canlii.org/en/bc/laws/regu/bc-reg-67-89/latest/" TargetMode="External"/><Relationship Id="rId1764" Type="http://schemas.openxmlformats.org/officeDocument/2006/relationships/hyperlink" Target="https://legislation.nimonikapp.com/legislations/543599/legislation_texts" TargetMode="External"/><Relationship Id="rId75" Type="http://schemas.openxmlformats.org/officeDocument/2006/relationships/hyperlink" Target="https://legislation.nimonikapp.com/legislations/1106/legislation_texts" TargetMode="External"/><Relationship Id="rId1765" Type="http://schemas.openxmlformats.org/officeDocument/2006/relationships/hyperlink" Target="https://ero.ontario.ca/notice/019-6296" TargetMode="External"/><Relationship Id="rId74" Type="http://schemas.openxmlformats.org/officeDocument/2006/relationships/hyperlink" Target="https://canlii.ca/t/8n3h" TargetMode="External"/><Relationship Id="rId1766" Type="http://schemas.openxmlformats.org/officeDocument/2006/relationships/hyperlink" Target="https://legislation.nimonikapp.com/legislations/544868/legislation_texts" TargetMode="External"/><Relationship Id="rId77" Type="http://schemas.openxmlformats.org/officeDocument/2006/relationships/hyperlink" Target="https://legislation.nimonikapp.com/legislations/1171/legislation_texts" TargetMode="External"/><Relationship Id="rId1767" Type="http://schemas.openxmlformats.org/officeDocument/2006/relationships/hyperlink" Target="https://static.aer.ca/prd/documents/manuals/Manual023.pdf" TargetMode="External"/><Relationship Id="rId76" Type="http://schemas.openxmlformats.org/officeDocument/2006/relationships/hyperlink" Target="https://www.canlii.org/en/sk/laws/regu/rrs-c-e-10.2-reg-8/latest/rrs-c-e-10.2-reg-8.html" TargetMode="External"/><Relationship Id="rId1768" Type="http://schemas.openxmlformats.org/officeDocument/2006/relationships/hyperlink" Target="https://www.aer.ca/regulating-development/rules-and-directives/manuals" TargetMode="External"/><Relationship Id="rId79" Type="http://schemas.openxmlformats.org/officeDocument/2006/relationships/hyperlink" Target="https://legislation.nimonikapp.com/legislations/1173/legislation_texts" TargetMode="External"/><Relationship Id="rId1769" Type="http://schemas.openxmlformats.org/officeDocument/2006/relationships/hyperlink" Target="https://legislation.nimonikapp.com/legislations/544869/legislation_texts" TargetMode="External"/><Relationship Id="rId78" Type="http://schemas.openxmlformats.org/officeDocument/2006/relationships/hyperlink" Target="https://www.canlii.org/en/on/laws/regu/o-reg-211-01/latest/o-reg-211-01.html" TargetMode="External"/><Relationship Id="rId71" Type="http://schemas.openxmlformats.org/officeDocument/2006/relationships/hyperlink" Target="https://legislation.nimonikapp.com/legislations/1036/legislation_texts" TargetMode="External"/><Relationship Id="rId70" Type="http://schemas.openxmlformats.org/officeDocument/2006/relationships/hyperlink" Target="https://www.canlii.org/en/bc/laws/regu/bc-reg-168-94/latest/bc-reg-168-94.html" TargetMode="External"/><Relationship Id="rId1760" Type="http://schemas.openxmlformats.org/officeDocument/2006/relationships/hyperlink" Target="https://canlii.ca/t/8cs5" TargetMode="External"/><Relationship Id="rId1761" Type="http://schemas.openxmlformats.org/officeDocument/2006/relationships/hyperlink" Target="https://www.assembly.nl.ca/Legislation/sr/regulations/rc969037.htm" TargetMode="External"/><Relationship Id="rId1762" Type="http://schemas.openxmlformats.org/officeDocument/2006/relationships/hyperlink" Target="https://legislation.nimonikapp.com/legislations/541640/legislation_texts" TargetMode="External"/><Relationship Id="rId62" Type="http://schemas.openxmlformats.org/officeDocument/2006/relationships/hyperlink" Target="https://canlii.ca/t/mhmr" TargetMode="External"/><Relationship Id="rId1312" Type="http://schemas.openxmlformats.org/officeDocument/2006/relationships/hyperlink" Target="https://canlii.ca/t/8czd" TargetMode="External"/><Relationship Id="rId1796" Type="http://schemas.openxmlformats.org/officeDocument/2006/relationships/hyperlink" Target="https://publications.saskatchewan.ca/api/v1/products/100518/formats/110971/download" TargetMode="External"/><Relationship Id="rId61" Type="http://schemas.openxmlformats.org/officeDocument/2006/relationships/hyperlink" Target="https://legislation.nimonikapp.com/legislations/172511/legislation_texts" TargetMode="External"/><Relationship Id="rId1313" Type="http://schemas.openxmlformats.org/officeDocument/2006/relationships/hyperlink" Target="https://legislation.nimonikapp.com/legislations/454282/legislation_texts" TargetMode="External"/><Relationship Id="rId1797" Type="http://schemas.openxmlformats.org/officeDocument/2006/relationships/hyperlink" Target="https://publications.saskatchewan.ca/" TargetMode="External"/><Relationship Id="rId64" Type="http://schemas.openxmlformats.org/officeDocument/2006/relationships/hyperlink" Target="https://www.canlii.org/en/on/laws/regu/o-reg-537-93/latest/o-reg-537-93.html" TargetMode="External"/><Relationship Id="rId1314" Type="http://schemas.openxmlformats.org/officeDocument/2006/relationships/hyperlink" Target="https://www.csagroup.org/store/product/2701372/" TargetMode="External"/><Relationship Id="rId1798" Type="http://schemas.openxmlformats.org/officeDocument/2006/relationships/hyperlink" Target="https://publications.saskatchewan.ca/" TargetMode="External"/><Relationship Id="rId63" Type="http://schemas.openxmlformats.org/officeDocument/2006/relationships/hyperlink" Target="https://legislation.nimonikapp.com/legislations/957/legislation_texts" TargetMode="External"/><Relationship Id="rId1315" Type="http://schemas.openxmlformats.org/officeDocument/2006/relationships/hyperlink" Target="https://legislation.nimonikapp.com/legislations/454283/legislation_texts" TargetMode="External"/><Relationship Id="rId1799" Type="http://schemas.openxmlformats.org/officeDocument/2006/relationships/hyperlink" Target="https://legislation.nimonikapp.com/legislations/544877/legislation_texts" TargetMode="External"/><Relationship Id="rId66" Type="http://schemas.openxmlformats.org/officeDocument/2006/relationships/hyperlink" Target="https://www.canlii.org/en/qc/laws/regu/rrq-c-a-3.001-r-1/latest/rrq-c-a-3.001-r-1.html" TargetMode="External"/><Relationship Id="rId1316" Type="http://schemas.openxmlformats.org/officeDocument/2006/relationships/hyperlink" Target="https://www.csagroup.org/fr/store/product/2701372/" TargetMode="External"/><Relationship Id="rId65" Type="http://schemas.openxmlformats.org/officeDocument/2006/relationships/hyperlink" Target="https://legislation.nimonikapp.com/legislations/984/legislation_texts" TargetMode="External"/><Relationship Id="rId1317" Type="http://schemas.openxmlformats.org/officeDocument/2006/relationships/hyperlink" Target="http://ca-csaz245.12-17.fr" TargetMode="External"/><Relationship Id="rId68" Type="http://schemas.openxmlformats.org/officeDocument/2006/relationships/hyperlink" Target="https://canlii.ca/t/1dl2" TargetMode="External"/><Relationship Id="rId1318" Type="http://schemas.openxmlformats.org/officeDocument/2006/relationships/hyperlink" Target="https://legislation.nimonikapp.com/legislations/454562/legislation_texts" TargetMode="External"/><Relationship Id="rId67" Type="http://schemas.openxmlformats.org/officeDocument/2006/relationships/hyperlink" Target="https://legislation.nimonikapp.com/legislations/172373/legislation_texts" TargetMode="External"/><Relationship Id="rId1319" Type="http://schemas.openxmlformats.org/officeDocument/2006/relationships/hyperlink" Target="https://canlii.ca/t/rs8" TargetMode="External"/><Relationship Id="rId729" Type="http://schemas.openxmlformats.org/officeDocument/2006/relationships/hyperlink" Target="https://legislation.nimonikapp.com/legislations/197937/legislation_texts" TargetMode="External"/><Relationship Id="rId728" Type="http://schemas.openxmlformats.org/officeDocument/2006/relationships/hyperlink" Target="https://laws-lois.justice.gc.ca/eng/regulations/SOR-2009-315/page-1.html" TargetMode="External"/><Relationship Id="rId60" Type="http://schemas.openxmlformats.org/officeDocument/2006/relationships/hyperlink" Target="https://canlii.ca/t/7srr" TargetMode="External"/><Relationship Id="rId723" Type="http://schemas.openxmlformats.org/officeDocument/2006/relationships/hyperlink" Target="https://laws-lois.justice.gc.ca/eng/regulations/SOR-2015-2/page-1.html" TargetMode="External"/><Relationship Id="rId722" Type="http://schemas.openxmlformats.org/officeDocument/2006/relationships/hyperlink" Target="https://www.canlii.org/en/ca/laws/regu/sor-2015-2/latest/sor-2015-2.html" TargetMode="External"/><Relationship Id="rId721" Type="http://schemas.openxmlformats.org/officeDocument/2006/relationships/hyperlink" Target="https://legislation.nimonikapp.com/legislations/197934/legislation_texts" TargetMode="External"/><Relationship Id="rId720" Type="http://schemas.openxmlformats.org/officeDocument/2006/relationships/hyperlink" Target="https://www.aer.ca/documents/directives/Directive078.pdf" TargetMode="External"/><Relationship Id="rId727" Type="http://schemas.openxmlformats.org/officeDocument/2006/relationships/hyperlink" Target="http://canlii.ca/t/8mn9" TargetMode="External"/><Relationship Id="rId726" Type="http://schemas.openxmlformats.org/officeDocument/2006/relationships/hyperlink" Target="https://legislation.nimonikapp.com/legislations/197936/legislation_texts" TargetMode="External"/><Relationship Id="rId725" Type="http://schemas.openxmlformats.org/officeDocument/2006/relationships/hyperlink" Target="http://canlii.ca/t/djr0" TargetMode="External"/><Relationship Id="rId724" Type="http://schemas.openxmlformats.org/officeDocument/2006/relationships/hyperlink" Target="https://legislation.nimonikapp.com/legislations/197935/legislation_texts" TargetMode="External"/><Relationship Id="rId69" Type="http://schemas.openxmlformats.org/officeDocument/2006/relationships/hyperlink" Target="https://legislation.nimonikapp.com/legislations/1028/legislation_texts" TargetMode="External"/><Relationship Id="rId1790" Type="http://schemas.openxmlformats.org/officeDocument/2006/relationships/hyperlink" Target="https://publications.saskatchewan.ca/" TargetMode="External"/><Relationship Id="rId1791" Type="http://schemas.openxmlformats.org/officeDocument/2006/relationships/hyperlink" Target="https://legislation.nimonikapp.com/legislations/544875/legislation_texts" TargetMode="External"/><Relationship Id="rId1792" Type="http://schemas.openxmlformats.org/officeDocument/2006/relationships/hyperlink" Target="https://publications.saskatchewan.ca/api/v1/products/100517/formats/110970/download" TargetMode="External"/><Relationship Id="rId1793" Type="http://schemas.openxmlformats.org/officeDocument/2006/relationships/hyperlink" Target="https://publications.saskatchewan.ca/" TargetMode="External"/><Relationship Id="rId1310" Type="http://schemas.openxmlformats.org/officeDocument/2006/relationships/hyperlink" Target="https://canlii.ca/t/8bhm" TargetMode="External"/><Relationship Id="rId1794" Type="http://schemas.openxmlformats.org/officeDocument/2006/relationships/hyperlink" Target="https://publications.saskatchewan.ca/" TargetMode="External"/><Relationship Id="rId1311" Type="http://schemas.openxmlformats.org/officeDocument/2006/relationships/hyperlink" Target="https://legislation.nimonikapp.com/legislations/453461/legislation_texts" TargetMode="External"/><Relationship Id="rId1795" Type="http://schemas.openxmlformats.org/officeDocument/2006/relationships/hyperlink" Target="https://legislation.nimonikapp.com/legislations/544876/legislation_texts" TargetMode="External"/><Relationship Id="rId51" Type="http://schemas.openxmlformats.org/officeDocument/2006/relationships/hyperlink" Target="https://legislation.nimonikapp.com/legislations/828/legislation_texts" TargetMode="External"/><Relationship Id="rId1301" Type="http://schemas.openxmlformats.org/officeDocument/2006/relationships/hyperlink" Target="https://canlii.ca/t/89gb" TargetMode="External"/><Relationship Id="rId1785" Type="http://schemas.openxmlformats.org/officeDocument/2006/relationships/hyperlink" Target="https://publications.saskatchewan.ca/" TargetMode="External"/><Relationship Id="rId50" Type="http://schemas.openxmlformats.org/officeDocument/2006/relationships/hyperlink" Target="https://canlii.ca/t/dcpm" TargetMode="External"/><Relationship Id="rId1302" Type="http://schemas.openxmlformats.org/officeDocument/2006/relationships/hyperlink" Target="https://laws.gnb.ca/en/showfulldoc/cr/87-14//20220103" TargetMode="External"/><Relationship Id="rId1786" Type="http://schemas.openxmlformats.org/officeDocument/2006/relationships/hyperlink" Target="https://publications.saskatchewan.ca/" TargetMode="External"/><Relationship Id="rId53" Type="http://schemas.openxmlformats.org/officeDocument/2006/relationships/hyperlink" Target="https://legislation.nimonikapp.com/legislations/172641/legislation_texts" TargetMode="External"/><Relationship Id="rId1303" Type="http://schemas.openxmlformats.org/officeDocument/2006/relationships/hyperlink" Target="https://legislation.nimonikapp.com/legislations/451026/legislation_texts" TargetMode="External"/><Relationship Id="rId1787" Type="http://schemas.openxmlformats.org/officeDocument/2006/relationships/hyperlink" Target="https://legislation.nimonikapp.com/legislations/544874/legislation_texts" TargetMode="External"/><Relationship Id="rId52" Type="http://schemas.openxmlformats.org/officeDocument/2006/relationships/hyperlink" Target="https://www.canlii.org/en/ca/laws/regu/sor-2002-254/latest/sor-2002-254.html" TargetMode="External"/><Relationship Id="rId1304" Type="http://schemas.openxmlformats.org/officeDocument/2006/relationships/hyperlink" Target="https://canlii.ca/t/891q" TargetMode="External"/><Relationship Id="rId1788" Type="http://schemas.openxmlformats.org/officeDocument/2006/relationships/hyperlink" Target="https://publications.saskatchewan.ca/api/v1/products/87486/formats/104148/download" TargetMode="External"/><Relationship Id="rId55" Type="http://schemas.openxmlformats.org/officeDocument/2006/relationships/hyperlink" Target="https://legislation.nimonikapp.com/legislations/885/legislation_texts" TargetMode="External"/><Relationship Id="rId1305" Type="http://schemas.openxmlformats.org/officeDocument/2006/relationships/hyperlink" Target="https://laws.gnb.ca/en/showfulldoc/cr/2006-3//20220103" TargetMode="External"/><Relationship Id="rId1789" Type="http://schemas.openxmlformats.org/officeDocument/2006/relationships/hyperlink" Target="https://publications.saskatchewan.ca/" TargetMode="External"/><Relationship Id="rId54" Type="http://schemas.openxmlformats.org/officeDocument/2006/relationships/hyperlink" Target="https://canlii.ca/t/cmx9" TargetMode="External"/><Relationship Id="rId1306" Type="http://schemas.openxmlformats.org/officeDocument/2006/relationships/hyperlink" Target="https://legislation.nimonikapp.com/legislations/451027/legislation_texts" TargetMode="External"/><Relationship Id="rId57" Type="http://schemas.openxmlformats.org/officeDocument/2006/relationships/hyperlink" Target="https://legislation.nimonikapp.com/legislations/172658/legislation_texts" TargetMode="External"/><Relationship Id="rId1307" Type="http://schemas.openxmlformats.org/officeDocument/2006/relationships/hyperlink" Target="https://canlii.ca/t/89fq" TargetMode="External"/><Relationship Id="rId56" Type="http://schemas.openxmlformats.org/officeDocument/2006/relationships/hyperlink" Target="https://canlii.ca/t/7wlh" TargetMode="External"/><Relationship Id="rId1308" Type="http://schemas.openxmlformats.org/officeDocument/2006/relationships/hyperlink" Target="https://laws.gnb.ca/en/showfulldoc/cr/2006-3//20220103" TargetMode="External"/><Relationship Id="rId1309" Type="http://schemas.openxmlformats.org/officeDocument/2006/relationships/hyperlink" Target="https://legislation.nimonikapp.com/legislations/453460/legislation_texts" TargetMode="External"/><Relationship Id="rId719" Type="http://schemas.openxmlformats.org/officeDocument/2006/relationships/hyperlink" Target="https://legislation.nimonikapp.com/legislations/197928/legislation_texts" TargetMode="External"/><Relationship Id="rId718" Type="http://schemas.openxmlformats.org/officeDocument/2006/relationships/hyperlink" Target="https://static.aer.ca/prd/2020-10/Directive044.pdf" TargetMode="External"/><Relationship Id="rId717" Type="http://schemas.openxmlformats.org/officeDocument/2006/relationships/hyperlink" Target="https://legislation.nimonikapp.com/legislations/197927/legislation_texts" TargetMode="External"/><Relationship Id="rId712" Type="http://schemas.openxmlformats.org/officeDocument/2006/relationships/hyperlink" Target="https://static.aer.ca/prd/documents/directives/Directive005.pdf" TargetMode="External"/><Relationship Id="rId711" Type="http://schemas.openxmlformats.org/officeDocument/2006/relationships/hyperlink" Target="https://legislation.nimonikapp.com/legislations/197924/legislation_texts" TargetMode="External"/><Relationship Id="rId710" Type="http://schemas.openxmlformats.org/officeDocument/2006/relationships/hyperlink" Target="http://canlii.ca/t/cksw" TargetMode="External"/><Relationship Id="rId716" Type="http://schemas.openxmlformats.org/officeDocument/2006/relationships/hyperlink" Target="https://static.aer.ca/prd/documents/directives/Directive033.pdf" TargetMode="External"/><Relationship Id="rId715" Type="http://schemas.openxmlformats.org/officeDocument/2006/relationships/hyperlink" Target="https://legislation.nimonikapp.com/legislations/197926/legislation_texts" TargetMode="External"/><Relationship Id="rId714" Type="http://schemas.openxmlformats.org/officeDocument/2006/relationships/hyperlink" Target="https://static.aer.ca/prd/documents/directives/Directive026.pdf" TargetMode="External"/><Relationship Id="rId713" Type="http://schemas.openxmlformats.org/officeDocument/2006/relationships/hyperlink" Target="https://legislation.nimonikapp.com/legislations/197925/legislation_texts" TargetMode="External"/><Relationship Id="rId59" Type="http://schemas.openxmlformats.org/officeDocument/2006/relationships/hyperlink" Target="https://legislation.nimonikapp.com/legislations/912/legislation_texts" TargetMode="External"/><Relationship Id="rId58" Type="http://schemas.openxmlformats.org/officeDocument/2006/relationships/hyperlink" Target="https://canlii.ca/t/clpt" TargetMode="External"/><Relationship Id="rId1780" Type="http://schemas.openxmlformats.org/officeDocument/2006/relationships/hyperlink" Target="https://publications.saskatchewan.ca/api/v1/products/76263/formats/86031/download" TargetMode="External"/><Relationship Id="rId1781" Type="http://schemas.openxmlformats.org/officeDocument/2006/relationships/hyperlink" Target="https://publications.saskatchewan.ca/" TargetMode="External"/><Relationship Id="rId1782" Type="http://schemas.openxmlformats.org/officeDocument/2006/relationships/hyperlink" Target="https://publications.saskatchewan.ca/" TargetMode="External"/><Relationship Id="rId1783" Type="http://schemas.openxmlformats.org/officeDocument/2006/relationships/hyperlink" Target="https://legislation.nimonikapp.com/legislations/544873/legislation_texts" TargetMode="External"/><Relationship Id="rId1300" Type="http://schemas.openxmlformats.org/officeDocument/2006/relationships/hyperlink" Target="https://legislation.nimonikapp.com/legislations/451025/legislation_texts" TargetMode="External"/><Relationship Id="rId1784" Type="http://schemas.openxmlformats.org/officeDocument/2006/relationships/hyperlink" Target="https://publications.saskatchewan.ca/api/v1/products/76265/formats/85486/download" TargetMode="External"/><Relationship Id="rId349" Type="http://schemas.openxmlformats.org/officeDocument/2006/relationships/hyperlink" Target="https://canlii.ca/t/dn5f" TargetMode="External"/><Relationship Id="rId348" Type="http://schemas.openxmlformats.org/officeDocument/2006/relationships/hyperlink" Target="https://legislation.nimonikapp.com/legislations/172900/legislation_texts" TargetMode="External"/><Relationship Id="rId347" Type="http://schemas.openxmlformats.org/officeDocument/2006/relationships/hyperlink" Target="https://canlii.ca/t/8z23" TargetMode="External"/><Relationship Id="rId346" Type="http://schemas.openxmlformats.org/officeDocument/2006/relationships/hyperlink" Target="https://legislation.nimonikapp.com/legislations/4226/legislation_texts" TargetMode="External"/><Relationship Id="rId341" Type="http://schemas.openxmlformats.org/officeDocument/2006/relationships/hyperlink" Target="https://canlii.ca/t/cnwp" TargetMode="External"/><Relationship Id="rId340" Type="http://schemas.openxmlformats.org/officeDocument/2006/relationships/hyperlink" Target="https://canlii.ca/t/7zsc" TargetMode="External"/><Relationship Id="rId345" Type="http://schemas.openxmlformats.org/officeDocument/2006/relationships/hyperlink" Target="https://canlii.ca/t/7w8q" TargetMode="External"/><Relationship Id="rId344" Type="http://schemas.openxmlformats.org/officeDocument/2006/relationships/hyperlink" Target="https://legislation.nimonikapp.com/legislations/172930/legislation_texts" TargetMode="External"/><Relationship Id="rId343" Type="http://schemas.openxmlformats.org/officeDocument/2006/relationships/hyperlink" Target="https://canlii.ca/t/7w8q" TargetMode="External"/><Relationship Id="rId342" Type="http://schemas.openxmlformats.org/officeDocument/2006/relationships/hyperlink" Target="https://legislation.nimonikapp.com/legislations/4205/legislation_texts" TargetMode="External"/><Relationship Id="rId338" Type="http://schemas.openxmlformats.org/officeDocument/2006/relationships/hyperlink" Target="https://canlii.ca/t/djqh" TargetMode="External"/><Relationship Id="rId337" Type="http://schemas.openxmlformats.org/officeDocument/2006/relationships/hyperlink" Target="https://canlii.ca/t/8tm5" TargetMode="External"/><Relationship Id="rId336" Type="http://schemas.openxmlformats.org/officeDocument/2006/relationships/hyperlink" Target="https://www.canlii.org/fr/ca/legis/regl/dors-96-244/derniere/dors-96-244.html" TargetMode="External"/><Relationship Id="rId335" Type="http://schemas.openxmlformats.org/officeDocument/2006/relationships/hyperlink" Target="https://legislation.nimonikapp.com/legislations/173102/legislation_texts" TargetMode="External"/><Relationship Id="rId339" Type="http://schemas.openxmlformats.org/officeDocument/2006/relationships/hyperlink" Target="https://legislation.nimonikapp.com/legislations/4183/legislation_texts" TargetMode="External"/><Relationship Id="rId330" Type="http://schemas.openxmlformats.org/officeDocument/2006/relationships/hyperlink" Target="https://canlii.ca/t/8tcd" TargetMode="External"/><Relationship Id="rId334" Type="http://schemas.openxmlformats.org/officeDocument/2006/relationships/hyperlink" Target="https://canlii.ca/t/80jx" TargetMode="External"/><Relationship Id="rId333" Type="http://schemas.openxmlformats.org/officeDocument/2006/relationships/hyperlink" Target="https://legislation.nimonikapp.com/legislations/4160/legislation_texts" TargetMode="External"/><Relationship Id="rId332" Type="http://schemas.openxmlformats.org/officeDocument/2006/relationships/hyperlink" Target="https://canlii.ca/t/djgq" TargetMode="External"/><Relationship Id="rId331" Type="http://schemas.openxmlformats.org/officeDocument/2006/relationships/hyperlink" Target="https://legislation.nimonikapp.com/legislations/172762/legislation_texts" TargetMode="External"/><Relationship Id="rId370" Type="http://schemas.openxmlformats.org/officeDocument/2006/relationships/hyperlink" Target="https://legislation.nimonikapp.com/legislations/4249/legislation_texts" TargetMode="External"/><Relationship Id="rId369" Type="http://schemas.openxmlformats.org/officeDocument/2006/relationships/hyperlink" Target="https://www.cer-rec.gc.ca/fr/regie/lois-reglements/loi-regie-canadienne-lenergie-reglements-notes-dorientation-documents-connexes/regie-energie-canada-lignes-directrices-rapports-evenement/2020drftvntrprtnggdlns-fra.pdf" TargetMode="External"/><Relationship Id="rId368" Type="http://schemas.openxmlformats.org/officeDocument/2006/relationships/hyperlink" Target="https://www.cer-rec.gc.ca/fr/regie/lois-reglements/loi-regie-canadienne-lenergie-reglements-notes-dorientation-documents-connexes/regie-energie-canada-lignes-directrices-rapports-evenement/index.html" TargetMode="External"/><Relationship Id="rId363" Type="http://schemas.openxmlformats.org/officeDocument/2006/relationships/hyperlink" Target="https://www.tc.gc.ca/fra/securitemaritime/tp-menu-515.htm" TargetMode="External"/><Relationship Id="rId362" Type="http://schemas.openxmlformats.org/officeDocument/2006/relationships/hyperlink" Target="https://www.tc.gc.ca/fra/securitemaritime/tp-tp12402-menu-607.htm" TargetMode="External"/><Relationship Id="rId361" Type="http://schemas.openxmlformats.org/officeDocument/2006/relationships/hyperlink" Target="https://www.tc.gc.ca/eng/marinesafety/tp-menu-515.htm" TargetMode="External"/><Relationship Id="rId360" Type="http://schemas.openxmlformats.org/officeDocument/2006/relationships/hyperlink" Target="https://www.tc.gc.ca/eng/marinesafety/tp-tp12402-menu-607.htm" TargetMode="External"/><Relationship Id="rId367" Type="http://schemas.openxmlformats.org/officeDocument/2006/relationships/hyperlink" Target="https://legislation.nimonikapp.com/legislations/173003/legislation_texts" TargetMode="External"/><Relationship Id="rId366" Type="http://schemas.openxmlformats.org/officeDocument/2006/relationships/hyperlink" Target="https://www.cer-rec.gc.ca/en/about/acts-regulations/cer-act-regulations-guidance-notes-related-documents/canada-energy-regulator-event-reporting-guidelines/draft-event-reporting-guidelines.pdf" TargetMode="External"/><Relationship Id="rId365" Type="http://schemas.openxmlformats.org/officeDocument/2006/relationships/hyperlink" Target="https://www.cer-rec.gc.ca/en/about/acts-regulations/cer-act-regulations-guidance-notes-related-documents/canada-energy-regulator-event-reporting-guidelines/index.html" TargetMode="External"/><Relationship Id="rId364" Type="http://schemas.openxmlformats.org/officeDocument/2006/relationships/hyperlink" Target="https://legislation.nimonikapp.com/legislations/4247/legislation_texts" TargetMode="External"/><Relationship Id="rId95" Type="http://schemas.openxmlformats.org/officeDocument/2006/relationships/hyperlink" Target="https://legislation.nimonikapp.com/legislations/1289/legislation_texts" TargetMode="External"/><Relationship Id="rId94" Type="http://schemas.openxmlformats.org/officeDocument/2006/relationships/hyperlink" Target="https://www.canlii.org/en/ab/laws/regu/alta-reg-223-2008/latest/" TargetMode="External"/><Relationship Id="rId97" Type="http://schemas.openxmlformats.org/officeDocument/2006/relationships/hyperlink" Target="https://legislation.nimonikapp.com/legislations/1301/legislation_texts" TargetMode="External"/><Relationship Id="rId96" Type="http://schemas.openxmlformats.org/officeDocument/2006/relationships/hyperlink" Target="https://www.canlii.org/en/on/laws/regu/o-reg-85-03/latest/" TargetMode="External"/><Relationship Id="rId99" Type="http://schemas.openxmlformats.org/officeDocument/2006/relationships/hyperlink" Target="https://legislation.nimonikapp.com/legislations/1306/legislation_texts" TargetMode="External"/><Relationship Id="rId98" Type="http://schemas.openxmlformats.org/officeDocument/2006/relationships/hyperlink" Target="https://www.canlii.org/en/nl/laws/regu/nlr-62-03/latest/" TargetMode="External"/><Relationship Id="rId91" Type="http://schemas.openxmlformats.org/officeDocument/2006/relationships/hyperlink" Target="https://legislation.nimonikapp.com/legislations/1208/legislation_texts" TargetMode="External"/><Relationship Id="rId90" Type="http://schemas.openxmlformats.org/officeDocument/2006/relationships/hyperlink" Target="https://canlii.ca/t/rmt" TargetMode="External"/><Relationship Id="rId93" Type="http://schemas.openxmlformats.org/officeDocument/2006/relationships/hyperlink" Target="https://legislation.nimonikapp.com/legislations/1284/legislation_texts" TargetMode="External"/><Relationship Id="rId92" Type="http://schemas.openxmlformats.org/officeDocument/2006/relationships/hyperlink" Target="https://canlii.ca/t/tsb" TargetMode="External"/><Relationship Id="rId359" Type="http://schemas.openxmlformats.org/officeDocument/2006/relationships/hyperlink" Target="https://canlii.ca/t/dnf8" TargetMode="External"/><Relationship Id="rId358" Type="http://schemas.openxmlformats.org/officeDocument/2006/relationships/hyperlink" Target="https://canlii.ca/t/8z9x" TargetMode="External"/><Relationship Id="rId357" Type="http://schemas.openxmlformats.org/officeDocument/2006/relationships/hyperlink" Target="http://canlii.ca/t/cnnv" TargetMode="External"/><Relationship Id="rId352" Type="http://schemas.openxmlformats.org/officeDocument/2006/relationships/hyperlink" Target="https://legislation.nimonikapp.com/legislations/172901/legislation_texts" TargetMode="External"/><Relationship Id="rId351" Type="http://schemas.openxmlformats.org/officeDocument/2006/relationships/hyperlink" Target="https://canlii.ca/t/8z24" TargetMode="External"/><Relationship Id="rId350" Type="http://schemas.openxmlformats.org/officeDocument/2006/relationships/hyperlink" Target="https://legislation.nimonikapp.com/legislations/4227/legislation_texts" TargetMode="External"/><Relationship Id="rId356" Type="http://schemas.openxmlformats.org/officeDocument/2006/relationships/hyperlink" Target="https://legislation.nimonikapp.com/legislations/403149/legislation_texts" TargetMode="External"/><Relationship Id="rId355" Type="http://schemas.openxmlformats.org/officeDocument/2006/relationships/hyperlink" Target="https://canlii.ca/t/7zkj" TargetMode="External"/><Relationship Id="rId354" Type="http://schemas.openxmlformats.org/officeDocument/2006/relationships/hyperlink" Target="https://legislation.nimonikapp.com/legislations/4231/legislation_texts" TargetMode="External"/><Relationship Id="rId353" Type="http://schemas.openxmlformats.org/officeDocument/2006/relationships/hyperlink" Target="https://canlii.ca/t/dn5g" TargetMode="External"/><Relationship Id="rId1378" Type="http://schemas.openxmlformats.org/officeDocument/2006/relationships/hyperlink" Target="https://legislation.nimonikapp.com/legislations/463235/legislation_texts" TargetMode="External"/><Relationship Id="rId1379" Type="http://schemas.openxmlformats.org/officeDocument/2006/relationships/hyperlink" Target="https://canlii.ca/t/djr4" TargetMode="External"/><Relationship Id="rId305" Type="http://schemas.openxmlformats.org/officeDocument/2006/relationships/hyperlink" Target="https://legislation.nimonikapp.com/legislations/4130/legislation_texts" TargetMode="External"/><Relationship Id="rId789" Type="http://schemas.openxmlformats.org/officeDocument/2006/relationships/hyperlink" Target="https://legislation.nimonikapp.com/legislations/198718/legislation_texts" TargetMode="External"/><Relationship Id="rId304" Type="http://schemas.openxmlformats.org/officeDocument/2006/relationships/hyperlink" Target="https://canlii.ca/t/dgdn" TargetMode="External"/><Relationship Id="rId788" Type="http://schemas.openxmlformats.org/officeDocument/2006/relationships/hyperlink" Target="http://canlii.ca/t/dwch" TargetMode="External"/><Relationship Id="rId303" Type="http://schemas.openxmlformats.org/officeDocument/2006/relationships/hyperlink" Target="https://canlii.ca/t/8r9b" TargetMode="External"/><Relationship Id="rId787" Type="http://schemas.openxmlformats.org/officeDocument/2006/relationships/hyperlink" Target="https://legislation.nimonikapp.com/legislations/198717/legislation_texts" TargetMode="External"/><Relationship Id="rId302" Type="http://schemas.openxmlformats.org/officeDocument/2006/relationships/hyperlink" Target="http://www.qp.gov.sk.ca/documents/English/Regulations/Regulations/W17-11R1.pdf" TargetMode="External"/><Relationship Id="rId786" Type="http://schemas.openxmlformats.org/officeDocument/2006/relationships/hyperlink" Target="http://canlii.ca/t/9685" TargetMode="External"/><Relationship Id="rId309" Type="http://schemas.openxmlformats.org/officeDocument/2006/relationships/hyperlink" Target="https://legislation.nimonikapp.com/legislations/4131/legislation_texts" TargetMode="External"/><Relationship Id="rId308" Type="http://schemas.openxmlformats.org/officeDocument/2006/relationships/hyperlink" Target="https://canlii.ca/t/ckn6" TargetMode="External"/><Relationship Id="rId307" Type="http://schemas.openxmlformats.org/officeDocument/2006/relationships/hyperlink" Target="https://legislation.nimonikapp.com/legislations/172742/legislation_texts" TargetMode="External"/><Relationship Id="rId306" Type="http://schemas.openxmlformats.org/officeDocument/2006/relationships/hyperlink" Target="https://canlii.ca/t/7vjv" TargetMode="External"/><Relationship Id="rId781" Type="http://schemas.openxmlformats.org/officeDocument/2006/relationships/hyperlink" Target="https://store.csagroup.org/ccrz__ProductDetails?viewState=DetailView&amp;cartID=&amp;sku=Z245.30-18&amp;portalUser=&amp;store=&amp;cclcl=fr_CA" TargetMode="External"/><Relationship Id="rId1370" Type="http://schemas.openxmlformats.org/officeDocument/2006/relationships/hyperlink" Target="https://legislation.nimonikapp.com/legislations/462176/legislation_texts" TargetMode="External"/><Relationship Id="rId780" Type="http://schemas.openxmlformats.org/officeDocument/2006/relationships/hyperlink" Target="https://legislation.nimonikapp.com/legislations/405723/legislation_texts" TargetMode="External"/><Relationship Id="rId1371" Type="http://schemas.openxmlformats.org/officeDocument/2006/relationships/hyperlink" Target="https://canlii.ca/t/89d7" TargetMode="External"/><Relationship Id="rId1372" Type="http://schemas.openxmlformats.org/officeDocument/2006/relationships/hyperlink" Target="http://laws.gnb.ca/en/showfulldoc/cr/2001-66//20211206" TargetMode="External"/><Relationship Id="rId1373" Type="http://schemas.openxmlformats.org/officeDocument/2006/relationships/hyperlink" Target="https://legislation.nimonikapp.com/legislations/462356/legislation_texts" TargetMode="External"/><Relationship Id="rId301" Type="http://schemas.openxmlformats.org/officeDocument/2006/relationships/hyperlink" Target="https://legislation.nimonikapp.com/legislations/4072/legislation_texts" TargetMode="External"/><Relationship Id="rId785" Type="http://schemas.openxmlformats.org/officeDocument/2006/relationships/hyperlink" Target="https://legislation.nimonikapp.com/legislations/198716/legislation_texts" TargetMode="External"/><Relationship Id="rId1374" Type="http://schemas.openxmlformats.org/officeDocument/2006/relationships/hyperlink" Target="https://static.aer.ca/prd/documents/directives/Directive088.pdf" TargetMode="External"/><Relationship Id="rId300" Type="http://schemas.openxmlformats.org/officeDocument/2006/relationships/hyperlink" Target="https://canlii.ca/t/8sdp" TargetMode="External"/><Relationship Id="rId784" Type="http://schemas.openxmlformats.org/officeDocument/2006/relationships/hyperlink" Target="https://novascotia.ca/just/regulations/regs/pipregns.htm" TargetMode="External"/><Relationship Id="rId1375" Type="http://schemas.openxmlformats.org/officeDocument/2006/relationships/hyperlink" Target="https://legislation.nimonikapp.com/legislations/463234/legislation_texts" TargetMode="External"/><Relationship Id="rId783" Type="http://schemas.openxmlformats.org/officeDocument/2006/relationships/hyperlink" Target="http://canlii.ca/t/8726" TargetMode="External"/><Relationship Id="rId1376" Type="http://schemas.openxmlformats.org/officeDocument/2006/relationships/hyperlink" Target="https://canlii.ca/t/8tms" TargetMode="External"/><Relationship Id="rId782" Type="http://schemas.openxmlformats.org/officeDocument/2006/relationships/hyperlink" Target="https://legislation.nimonikapp.com/legislations/198657/legislation_texts" TargetMode="External"/><Relationship Id="rId1377" Type="http://schemas.openxmlformats.org/officeDocument/2006/relationships/hyperlink" Target="https://laws-lois.justice.gc.ca/eng/regulations/SOR-2015-6/FullText.html" TargetMode="External"/><Relationship Id="rId1367" Type="http://schemas.openxmlformats.org/officeDocument/2006/relationships/hyperlink" Target="http://laws.gnb.ca/en/showfulldoc/cs/P-8.05//20211130" TargetMode="External"/><Relationship Id="rId1368" Type="http://schemas.openxmlformats.org/officeDocument/2006/relationships/hyperlink" Target="https://canlii.ca/t/88wj" TargetMode="External"/><Relationship Id="rId1369" Type="http://schemas.openxmlformats.org/officeDocument/2006/relationships/hyperlink" Target="http://laws.gnb.ca/en/showfulldoc/cr/99-60//20211206" TargetMode="External"/><Relationship Id="rId778" Type="http://schemas.openxmlformats.org/officeDocument/2006/relationships/hyperlink" Target="https://www.csagroup.org/fr/store/product/Z245.11-17/" TargetMode="External"/><Relationship Id="rId777" Type="http://schemas.openxmlformats.org/officeDocument/2006/relationships/hyperlink" Target="https://legislation.nimonikapp.com/legislations/439536/legislation_texts" TargetMode="External"/><Relationship Id="rId776" Type="http://schemas.openxmlformats.org/officeDocument/2006/relationships/hyperlink" Target="http://ca-csaz245.11-17.fr" TargetMode="External"/><Relationship Id="rId775" Type="http://schemas.openxmlformats.org/officeDocument/2006/relationships/hyperlink" Target="https://store.csagroup.org/ccrz__ProductDetails?viewState=DetailView&amp;cartID=&amp;sku=Z245.11-17&amp;portalUser=&amp;store=&amp;cclcl=en_US" TargetMode="External"/><Relationship Id="rId779" Type="http://schemas.openxmlformats.org/officeDocument/2006/relationships/hyperlink" Target="https://store.csagroup.org/ccrz__ProductDetails?viewState=DetailView&amp;cartID=&amp;sku=Z245.30-18&amp;portalUser=&amp;store=&amp;cclcl=en_US" TargetMode="External"/><Relationship Id="rId770" Type="http://schemas.openxmlformats.org/officeDocument/2006/relationships/hyperlink" Target="https://nslegislature.ca/sites/default/files/legc/statutes/pipeline.htm" TargetMode="External"/><Relationship Id="rId1360" Type="http://schemas.openxmlformats.org/officeDocument/2006/relationships/hyperlink" Target="https://canlii.ca/t/86lx" TargetMode="External"/><Relationship Id="rId1361" Type="http://schemas.openxmlformats.org/officeDocument/2006/relationships/hyperlink" Target="https://novascotia.ca/just/regulations/regs/PR-PetroleumResources.htm" TargetMode="External"/><Relationship Id="rId1362" Type="http://schemas.openxmlformats.org/officeDocument/2006/relationships/hyperlink" Target="https://legislation.nimonikapp.com/legislations/462055/legislation_texts" TargetMode="External"/><Relationship Id="rId774" Type="http://schemas.openxmlformats.org/officeDocument/2006/relationships/hyperlink" Target="https://www.csagroup.org/fr/store/product/Z245.1-18/" TargetMode="External"/><Relationship Id="rId1363" Type="http://schemas.openxmlformats.org/officeDocument/2006/relationships/hyperlink" Target="https://canlii.ca/t/88k9" TargetMode="External"/><Relationship Id="rId773" Type="http://schemas.openxmlformats.org/officeDocument/2006/relationships/hyperlink" Target="https://legislation.nimonikapp.com/legislations/439535/legislation_texts" TargetMode="External"/><Relationship Id="rId1364" Type="http://schemas.openxmlformats.org/officeDocument/2006/relationships/hyperlink" Target="http://laws.gnb.ca/en/showfulldoc/cs/G-2.11//20211202" TargetMode="External"/><Relationship Id="rId772" Type="http://schemas.openxmlformats.org/officeDocument/2006/relationships/hyperlink" Target="http://ca-csaz245.1-18.fr" TargetMode="External"/><Relationship Id="rId1365" Type="http://schemas.openxmlformats.org/officeDocument/2006/relationships/hyperlink" Target="https://legislation.nimonikapp.com/legislations/462086/legislation_texts" TargetMode="External"/><Relationship Id="rId771" Type="http://schemas.openxmlformats.org/officeDocument/2006/relationships/hyperlink" Target="https://store.csagroup.org/ccrz__ProductDetails?viewState=DetailView&amp;cartID=&amp;sku=Z245.1-18&amp;isCSRFlow=true&amp;portalUser=&amp;store=&amp;cclcl=pt_BR" TargetMode="External"/><Relationship Id="rId1366" Type="http://schemas.openxmlformats.org/officeDocument/2006/relationships/hyperlink" Target="https://canlii.ca/t/88j4" TargetMode="External"/><Relationship Id="rId327" Type="http://schemas.openxmlformats.org/officeDocument/2006/relationships/hyperlink" Target="https://legislation.nimonikapp.com/legislations/173106/legislation_texts" TargetMode="External"/><Relationship Id="rId326" Type="http://schemas.openxmlformats.org/officeDocument/2006/relationships/hyperlink" Target="https://canlii.ca/t/7zjg" TargetMode="External"/><Relationship Id="rId325" Type="http://schemas.openxmlformats.org/officeDocument/2006/relationships/hyperlink" Target="https://legislation.nimonikapp.com/legislations/4155/legislation_texts" TargetMode="External"/><Relationship Id="rId324" Type="http://schemas.openxmlformats.org/officeDocument/2006/relationships/hyperlink" Target="https://canlii.ca/t/ckms" TargetMode="External"/><Relationship Id="rId329" Type="http://schemas.openxmlformats.org/officeDocument/2006/relationships/hyperlink" Target="https://legislation.nimonikapp.com/legislations/4157/legislation_texts" TargetMode="External"/><Relationship Id="rId1390" Type="http://schemas.openxmlformats.org/officeDocument/2006/relationships/hyperlink" Target="https://legislation.nimonikapp.com/legislations/463239/legislation_texts" TargetMode="External"/><Relationship Id="rId328" Type="http://schemas.openxmlformats.org/officeDocument/2006/relationships/hyperlink" Target="https://www.canlii.org/fr/ca/legis/regl/dors-83-190/derniere/dors-83-190.html" TargetMode="External"/><Relationship Id="rId1391" Type="http://schemas.openxmlformats.org/officeDocument/2006/relationships/hyperlink" Target="https://canlii.ca/t/clcq" TargetMode="External"/><Relationship Id="rId1392" Type="http://schemas.openxmlformats.org/officeDocument/2006/relationships/hyperlink" Target="https://laws-lois.justice.gc.ca/fra/reglements/C.R.C.,_c._1517.fr/TexteComplet.html" TargetMode="External"/><Relationship Id="rId1393" Type="http://schemas.openxmlformats.org/officeDocument/2006/relationships/hyperlink" Target="https://legislation.nimonikapp.com/legislations/463240/legislation_texts" TargetMode="External"/><Relationship Id="rId1394" Type="http://schemas.openxmlformats.org/officeDocument/2006/relationships/hyperlink" Target="https://canlii.ca/t/7w8f" TargetMode="External"/><Relationship Id="rId1395" Type="http://schemas.openxmlformats.org/officeDocument/2006/relationships/hyperlink" Target="https://laws-lois.justice.gc.ca/eng/regulations/C.R.C.,_c._1518/FullText.html" TargetMode="External"/><Relationship Id="rId323" Type="http://schemas.openxmlformats.org/officeDocument/2006/relationships/hyperlink" Target="https://legislation.nimonikapp.com/legislations/172912/legislation_texts" TargetMode="External"/><Relationship Id="rId1396" Type="http://schemas.openxmlformats.org/officeDocument/2006/relationships/hyperlink" Target="https://legislation.nimonikapp.com/legislations/463241/legislation_texts" TargetMode="External"/><Relationship Id="rId322" Type="http://schemas.openxmlformats.org/officeDocument/2006/relationships/hyperlink" Target="https://canlii.ca/t/7vjg" TargetMode="External"/><Relationship Id="rId1397" Type="http://schemas.openxmlformats.org/officeDocument/2006/relationships/hyperlink" Target="https://canlii.ca/t/clcr" TargetMode="External"/><Relationship Id="rId321" Type="http://schemas.openxmlformats.org/officeDocument/2006/relationships/hyperlink" Target="https://legislation.nimonikapp.com/legislations/4139/legislation_texts" TargetMode="External"/><Relationship Id="rId1398" Type="http://schemas.openxmlformats.org/officeDocument/2006/relationships/hyperlink" Target="https://laws-lois.justice.gc.ca/fra/reglements/C.R.C.,_c._1518.fr/TexteComplet.html" TargetMode="External"/><Relationship Id="rId320" Type="http://schemas.openxmlformats.org/officeDocument/2006/relationships/hyperlink" Target="https://canlii.ca/t/cklz" TargetMode="External"/><Relationship Id="rId1399" Type="http://schemas.openxmlformats.org/officeDocument/2006/relationships/hyperlink" Target="https://legislation.nimonikapp.com/legislations/463324/legislation_texts" TargetMode="External"/><Relationship Id="rId1389" Type="http://schemas.openxmlformats.org/officeDocument/2006/relationships/hyperlink" Target="https://laws-lois.justice.gc.ca/eng/regulations/C.R.C.,_c._1517/FullText.html" TargetMode="External"/><Relationship Id="rId316" Type="http://schemas.openxmlformats.org/officeDocument/2006/relationships/hyperlink" Target="https://canlii.ca/t/ckgg" TargetMode="External"/><Relationship Id="rId315" Type="http://schemas.openxmlformats.org/officeDocument/2006/relationships/hyperlink" Target="https://legislation.nimonikapp.com/legislations/172744/legislation_texts" TargetMode="External"/><Relationship Id="rId799" Type="http://schemas.openxmlformats.org/officeDocument/2006/relationships/hyperlink" Target="https://www.csagroup.org/fr/store/product/Z245.12-17/" TargetMode="External"/><Relationship Id="rId314" Type="http://schemas.openxmlformats.org/officeDocument/2006/relationships/hyperlink" Target="https://canlii.ca/t/7vc4" TargetMode="External"/><Relationship Id="rId798" Type="http://schemas.openxmlformats.org/officeDocument/2006/relationships/hyperlink" Target="https://legislation.nimonikapp.com/legislations/439537/legislation_texts" TargetMode="External"/><Relationship Id="rId313" Type="http://schemas.openxmlformats.org/officeDocument/2006/relationships/hyperlink" Target="https://legislation.nimonikapp.com/legislations/4132/legislation_texts" TargetMode="External"/><Relationship Id="rId797" Type="http://schemas.openxmlformats.org/officeDocument/2006/relationships/hyperlink" Target="http://ca-csaz245.12-17.fr" TargetMode="External"/><Relationship Id="rId319" Type="http://schemas.openxmlformats.org/officeDocument/2006/relationships/hyperlink" Target="https://legislation.nimonikapp.com/legislations/172911/legislation_texts" TargetMode="External"/><Relationship Id="rId318" Type="http://schemas.openxmlformats.org/officeDocument/2006/relationships/hyperlink" Target="https://canlii.ca/t/7vhm" TargetMode="External"/><Relationship Id="rId317" Type="http://schemas.openxmlformats.org/officeDocument/2006/relationships/hyperlink" Target="https://legislation.nimonikapp.com/legislations/4138/legislation_texts" TargetMode="External"/><Relationship Id="rId1380" Type="http://schemas.openxmlformats.org/officeDocument/2006/relationships/hyperlink" Target="https://laws-lois.justice.gc.ca/fra/reglements/DORS-2015-6/TexteComplet.html" TargetMode="External"/><Relationship Id="rId792" Type="http://schemas.openxmlformats.org/officeDocument/2006/relationships/hyperlink" Target="http://canlii.ca/t/dwcj" TargetMode="External"/><Relationship Id="rId1381" Type="http://schemas.openxmlformats.org/officeDocument/2006/relationships/hyperlink" Target="https://legislation.nimonikapp.com/legislations/463236/legislation_texts" TargetMode="External"/><Relationship Id="rId791" Type="http://schemas.openxmlformats.org/officeDocument/2006/relationships/hyperlink" Target="https://legislation.nimonikapp.com/legislations/198719/legislation_texts" TargetMode="External"/><Relationship Id="rId1382" Type="http://schemas.openxmlformats.org/officeDocument/2006/relationships/hyperlink" Target="https://canlii.ca/t/8tmp" TargetMode="External"/><Relationship Id="rId790" Type="http://schemas.openxmlformats.org/officeDocument/2006/relationships/hyperlink" Target="http://canlii.ca/t/9686" TargetMode="External"/><Relationship Id="rId1383" Type="http://schemas.openxmlformats.org/officeDocument/2006/relationships/hyperlink" Target="https://laws-lois.justice.gc.ca/eng/regulations/SOR-2015-3/FullText.html" TargetMode="External"/><Relationship Id="rId1384" Type="http://schemas.openxmlformats.org/officeDocument/2006/relationships/hyperlink" Target="https://legislation.nimonikapp.com/legislations/463237/legislation_texts" TargetMode="External"/><Relationship Id="rId312" Type="http://schemas.openxmlformats.org/officeDocument/2006/relationships/hyperlink" Target="https://canlii.ca/t/cnmp" TargetMode="External"/><Relationship Id="rId796" Type="http://schemas.openxmlformats.org/officeDocument/2006/relationships/hyperlink" Target="https://store.csagroup.org/ccrz__ProductDetails?viewState=DetailView&amp;cartID=&amp;portalUser=&amp;store=&amp;cclcl=en_US&amp;sku=Z245.12-17" TargetMode="External"/><Relationship Id="rId1385" Type="http://schemas.openxmlformats.org/officeDocument/2006/relationships/hyperlink" Target="https://canlii.ca/t/djr1" TargetMode="External"/><Relationship Id="rId311" Type="http://schemas.openxmlformats.org/officeDocument/2006/relationships/hyperlink" Target="https://legislation.nimonikapp.com/legislations/172743/legislation_texts" TargetMode="External"/><Relationship Id="rId795" Type="http://schemas.openxmlformats.org/officeDocument/2006/relationships/hyperlink" Target="http://www.qp.alberta.ca/570.cfm?frm_isbn=9780779788613&amp;search_by=link" TargetMode="External"/><Relationship Id="rId1386" Type="http://schemas.openxmlformats.org/officeDocument/2006/relationships/hyperlink" Target="https://laws-lois.justice.gc.ca/fra/reglements/DORS-2015-3/TexteComplet.html" TargetMode="External"/><Relationship Id="rId310" Type="http://schemas.openxmlformats.org/officeDocument/2006/relationships/hyperlink" Target="https://canlii.ca/t/7zjc" TargetMode="External"/><Relationship Id="rId794" Type="http://schemas.openxmlformats.org/officeDocument/2006/relationships/hyperlink" Target="https://www.canlii.org/en/bc/laws/regu/bc-reg-203-86/latest/bc-reg-203-86.html" TargetMode="External"/><Relationship Id="rId1387" Type="http://schemas.openxmlformats.org/officeDocument/2006/relationships/hyperlink" Target="https://legislation.nimonikapp.com/legislations/463238/legislation_texts" TargetMode="External"/><Relationship Id="rId793" Type="http://schemas.openxmlformats.org/officeDocument/2006/relationships/hyperlink" Target="https://legislation.nimonikapp.com/legislations/198729/legislation_texts" TargetMode="External"/><Relationship Id="rId1388" Type="http://schemas.openxmlformats.org/officeDocument/2006/relationships/hyperlink" Target="https://canlii.ca/t/7w8d" TargetMode="External"/><Relationship Id="rId297" Type="http://schemas.openxmlformats.org/officeDocument/2006/relationships/hyperlink" Target="https://canlii.ca/t/8vmk" TargetMode="External"/><Relationship Id="rId296" Type="http://schemas.openxmlformats.org/officeDocument/2006/relationships/hyperlink" Target="https://legislation.nimonikapp.com/legislations/4020/legislation_texts" TargetMode="External"/><Relationship Id="rId295" Type="http://schemas.openxmlformats.org/officeDocument/2006/relationships/hyperlink" Target="https://canlii.ca/t/dkb9" TargetMode="External"/><Relationship Id="rId294" Type="http://schemas.openxmlformats.org/officeDocument/2006/relationships/hyperlink" Target="https://legislation.nimonikapp.com/legislations/172795/legislation_texts" TargetMode="External"/><Relationship Id="rId299" Type="http://schemas.openxmlformats.org/officeDocument/2006/relationships/hyperlink" Target="https://canlii.ca/t/dkqw" TargetMode="External"/><Relationship Id="rId298" Type="http://schemas.openxmlformats.org/officeDocument/2006/relationships/hyperlink" Target="https://legislation.nimonikapp.com/legislations/172822/legislation_texts" TargetMode="External"/><Relationship Id="rId271" Type="http://schemas.openxmlformats.org/officeDocument/2006/relationships/hyperlink" Target="https://canlii.ca/t/8r5r" TargetMode="External"/><Relationship Id="rId270" Type="http://schemas.openxmlformats.org/officeDocument/2006/relationships/hyperlink" Target="https://legislation.nimonikapp.com/legislations/3850/legislation_texts" TargetMode="External"/><Relationship Id="rId269" Type="http://schemas.openxmlformats.org/officeDocument/2006/relationships/hyperlink" Target="https://canlii.ca/t/cnmt" TargetMode="External"/><Relationship Id="rId264" Type="http://schemas.openxmlformats.org/officeDocument/2006/relationships/hyperlink" Target="https://legislation.nimonikapp.com/legislations/173032/legislation_texts" TargetMode="External"/><Relationship Id="rId263" Type="http://schemas.openxmlformats.org/officeDocument/2006/relationships/hyperlink" Target="https://canlii.ca/t/803l" TargetMode="External"/><Relationship Id="rId262" Type="http://schemas.openxmlformats.org/officeDocument/2006/relationships/hyperlink" Target="https://legislation.nimonikapp.com/legislations/3833/legislation_texts" TargetMode="External"/><Relationship Id="rId261" Type="http://schemas.openxmlformats.org/officeDocument/2006/relationships/hyperlink" Target="https://canlii.ca/t/dh35" TargetMode="External"/><Relationship Id="rId268" Type="http://schemas.openxmlformats.org/officeDocument/2006/relationships/hyperlink" Target="https://legislation.nimonikapp.com/legislations/172991/legislation_texts" TargetMode="External"/><Relationship Id="rId267" Type="http://schemas.openxmlformats.org/officeDocument/2006/relationships/hyperlink" Target="https://canlii.ca/t/7zjh" TargetMode="External"/><Relationship Id="rId266" Type="http://schemas.openxmlformats.org/officeDocument/2006/relationships/hyperlink" Target="https://legislation.nimonikapp.com/legislations/3834/legislation_texts" TargetMode="External"/><Relationship Id="rId265" Type="http://schemas.openxmlformats.org/officeDocument/2006/relationships/hyperlink" Target="https://canlii.ca/t/cp6x" TargetMode="External"/><Relationship Id="rId260" Type="http://schemas.openxmlformats.org/officeDocument/2006/relationships/hyperlink" Target="https://legislation.nimonikapp.com/legislations/172735/legislation_texts" TargetMode="External"/><Relationship Id="rId259" Type="http://schemas.openxmlformats.org/officeDocument/2006/relationships/hyperlink" Target="https://canlii.ca/t/8rzt" TargetMode="External"/><Relationship Id="rId258" Type="http://schemas.openxmlformats.org/officeDocument/2006/relationships/hyperlink" Target="https://legislation.nimonikapp.com/legislations/3831/legislation_texts" TargetMode="External"/><Relationship Id="rId253" Type="http://schemas.openxmlformats.org/officeDocument/2006/relationships/hyperlink" Target="https://canlii.ca/t/cl5x" TargetMode="External"/><Relationship Id="rId252" Type="http://schemas.openxmlformats.org/officeDocument/2006/relationships/hyperlink" Target="https://legislation.nimonikapp.com/legislations/172990/legislation_texts" TargetMode="External"/><Relationship Id="rId251" Type="http://schemas.openxmlformats.org/officeDocument/2006/relationships/hyperlink" Target="https://canlii.ca/t/7w2l" TargetMode="External"/><Relationship Id="rId250" Type="http://schemas.openxmlformats.org/officeDocument/2006/relationships/hyperlink" Target="https://legislation.nimonikapp.com/legislations/3821/legislation_texts" TargetMode="External"/><Relationship Id="rId257" Type="http://schemas.openxmlformats.org/officeDocument/2006/relationships/hyperlink" Target="https://store.csagroup.org/ccrz__ProductDetails?viewState=DetailView&amp;cartID=&amp;sku=CAN/CSA-Z662-15&amp;isCSRFlow=true&amp;portalUser=&amp;store=&amp;cclcl=fr_CA" TargetMode="External"/><Relationship Id="rId256" Type="http://schemas.openxmlformats.org/officeDocument/2006/relationships/hyperlink" Target="https://store.csagroup.org/ccrz__ProductDetails?viewState=DetailView&amp;cartID=&amp;sku=CAN/CSA-Z662-15&amp;isCSRFlow=true&amp;portalUser=&amp;store=&amp;cclcl=en_US" TargetMode="External"/><Relationship Id="rId255" Type="http://schemas.openxmlformats.org/officeDocument/2006/relationships/hyperlink" Target="https://store.csagroup.org/ccrz__ProductDetails?viewState=DetailView&amp;cartID=&amp;sku=Z246.1-17&amp;isCSRFlow=true&amp;portalUser=&amp;store=&amp;cclcl=fr_CA" TargetMode="External"/><Relationship Id="rId254" Type="http://schemas.openxmlformats.org/officeDocument/2006/relationships/hyperlink" Target="https://store.csagroup.org/ccrz__ProductDetails?viewState=DetailView&amp;cartID=&amp;sku=Z246.1-17&amp;isCSRFlow=true&amp;portalUser=&amp;store=&amp;cclcl=en_US" TargetMode="External"/><Relationship Id="rId293" Type="http://schemas.openxmlformats.org/officeDocument/2006/relationships/hyperlink" Target="https://canlii.ca/t/8v6z" TargetMode="External"/><Relationship Id="rId292" Type="http://schemas.openxmlformats.org/officeDocument/2006/relationships/hyperlink" Target="https://legislation.nimonikapp.com/legislations/4018/legislation_texts" TargetMode="External"/><Relationship Id="rId291" Type="http://schemas.openxmlformats.org/officeDocument/2006/relationships/hyperlink" Target="https://www.bcogc.ca/node/6042/download" TargetMode="External"/><Relationship Id="rId290" Type="http://schemas.openxmlformats.org/officeDocument/2006/relationships/hyperlink" Target="https://www.bcogc.ca/node/6096/download" TargetMode="External"/><Relationship Id="rId286" Type="http://schemas.openxmlformats.org/officeDocument/2006/relationships/hyperlink" Target="http://www.bcogc.ca/node/5899/download" TargetMode="External"/><Relationship Id="rId285" Type="http://schemas.openxmlformats.org/officeDocument/2006/relationships/hyperlink" Target="https://canlii.ca/t/8sn3" TargetMode="External"/><Relationship Id="rId284" Type="http://schemas.openxmlformats.org/officeDocument/2006/relationships/hyperlink" Target="https://legislation.nimonikapp.com/legislations/3914/legislation_texts" TargetMode="External"/><Relationship Id="rId283" Type="http://schemas.openxmlformats.org/officeDocument/2006/relationships/hyperlink" Target="https://canlii.ca/t/8r20" TargetMode="External"/><Relationship Id="rId289" Type="http://schemas.openxmlformats.org/officeDocument/2006/relationships/hyperlink" Target="https://legislation.nimonikapp.com/legislations/3936/legislation_texts" TargetMode="External"/><Relationship Id="rId288" Type="http://schemas.openxmlformats.org/officeDocument/2006/relationships/hyperlink" Target="https://www.bcogc.ca/node/11189/download" TargetMode="External"/><Relationship Id="rId287" Type="http://schemas.openxmlformats.org/officeDocument/2006/relationships/hyperlink" Target="https://www.bcogc.ca/node/5767/download" TargetMode="External"/><Relationship Id="rId282" Type="http://schemas.openxmlformats.org/officeDocument/2006/relationships/hyperlink" Target="https://legislation.nimonikapp.com/legislations/3907/legislation_texts" TargetMode="External"/><Relationship Id="rId281" Type="http://schemas.openxmlformats.org/officeDocument/2006/relationships/hyperlink" Target="https://canlii.ca/t/8rtv" TargetMode="External"/><Relationship Id="rId280" Type="http://schemas.openxmlformats.org/officeDocument/2006/relationships/hyperlink" Target="https://legislation.nimonikapp.com/legislations/3867/legislation_texts" TargetMode="External"/><Relationship Id="rId275" Type="http://schemas.openxmlformats.org/officeDocument/2006/relationships/hyperlink" Target="https://canlii.ca/t/8sj4" TargetMode="External"/><Relationship Id="rId274" Type="http://schemas.openxmlformats.org/officeDocument/2006/relationships/hyperlink" Target="https://legislation.nimonikapp.com/legislations/3863/legislation_texts" TargetMode="External"/><Relationship Id="rId273" Type="http://schemas.openxmlformats.org/officeDocument/2006/relationships/hyperlink" Target="https://canlii.ca/t/8498" TargetMode="External"/><Relationship Id="rId272" Type="http://schemas.openxmlformats.org/officeDocument/2006/relationships/hyperlink" Target="https://legislation.nimonikapp.com/legislations/3862/legislation_texts" TargetMode="External"/><Relationship Id="rId279" Type="http://schemas.openxmlformats.org/officeDocument/2006/relationships/hyperlink" Target="https://www.canlii.org/en/bc/laws/regu/bc-reg-147-2012/latest/bc-reg-147-2012.html" TargetMode="External"/><Relationship Id="rId278" Type="http://schemas.openxmlformats.org/officeDocument/2006/relationships/hyperlink" Target="https://legislation.nimonikapp.com/legislations/3866/legislation_texts" TargetMode="External"/><Relationship Id="rId277" Type="http://schemas.openxmlformats.org/officeDocument/2006/relationships/hyperlink" Target="http://canlii.ca/t/8nns" TargetMode="External"/><Relationship Id="rId276" Type="http://schemas.openxmlformats.org/officeDocument/2006/relationships/hyperlink" Target="https://legislation.nimonikapp.com/legislations/3864/legislation_texts" TargetMode="External"/><Relationship Id="rId1851" Type="http://schemas.openxmlformats.org/officeDocument/2006/relationships/hyperlink" Target="https://laws.justice.gc.ca/fra/reglements/DORS-2016-22/TexteComplet.html" TargetMode="External"/><Relationship Id="rId1852" Type="http://schemas.openxmlformats.org/officeDocument/2006/relationships/hyperlink" Target="https://legislation.nimonikapp.com/legislations/545748/legislation_texts" TargetMode="External"/><Relationship Id="rId1853" Type="http://schemas.openxmlformats.org/officeDocument/2006/relationships/hyperlink" Target="https://canlii.ca/t/8qpt" TargetMode="External"/><Relationship Id="rId1854" Type="http://schemas.openxmlformats.org/officeDocument/2006/relationships/hyperlink" Target="https://laws.justice.gc.ca/eng/regulations/SOR-2012-113/FullText.html" TargetMode="External"/><Relationship Id="rId1855" Type="http://schemas.openxmlformats.org/officeDocument/2006/relationships/hyperlink" Target="https://legislation.nimonikapp.com/legislations/545749/legislation_texts" TargetMode="External"/><Relationship Id="rId1856" Type="http://schemas.openxmlformats.org/officeDocument/2006/relationships/hyperlink" Target="https://canlii.ca/t/dft5" TargetMode="External"/><Relationship Id="rId1857" Type="http://schemas.openxmlformats.org/officeDocument/2006/relationships/hyperlink" Target="https://laws.justice.gc.ca/fra/reglements/DORS-2012-113/TexteComplet.html" TargetMode="External"/><Relationship Id="rId1858" Type="http://schemas.openxmlformats.org/officeDocument/2006/relationships/hyperlink" Target="https://legislation.nimonikapp.com/legislations/545750/legislation_texts" TargetMode="External"/><Relationship Id="rId1859" Type="http://schemas.openxmlformats.org/officeDocument/2006/relationships/hyperlink" Target="https://canlii.ca/t/7z6m" TargetMode="External"/><Relationship Id="rId1850" Type="http://schemas.openxmlformats.org/officeDocument/2006/relationships/hyperlink" Target="https://canlii.ca/t/dn5b" TargetMode="External"/><Relationship Id="rId1840" Type="http://schemas.openxmlformats.org/officeDocument/2006/relationships/hyperlink" Target="https://legislation.nimonikapp.com/legislations/545742/legislation_texts" TargetMode="External"/><Relationship Id="rId1841" Type="http://schemas.openxmlformats.org/officeDocument/2006/relationships/hyperlink" Target="https://canlii.ca/t/8z1x" TargetMode="External"/><Relationship Id="rId1842" Type="http://schemas.openxmlformats.org/officeDocument/2006/relationships/hyperlink" Target="https://laws.justice.gc.ca/eng/regulations/SOR-2016-20/FullText.html" TargetMode="External"/><Relationship Id="rId1843" Type="http://schemas.openxmlformats.org/officeDocument/2006/relationships/hyperlink" Target="https://legislation.nimonikapp.com/legislations/545743/legislation_texts" TargetMode="External"/><Relationship Id="rId1844" Type="http://schemas.openxmlformats.org/officeDocument/2006/relationships/hyperlink" Target="https://canlii.ca/t/dn58" TargetMode="External"/><Relationship Id="rId1845" Type="http://schemas.openxmlformats.org/officeDocument/2006/relationships/hyperlink" Target="https://laws.justice.gc.ca/fra/reglements/DORS-2016-20/TexteComplet.html" TargetMode="External"/><Relationship Id="rId1846" Type="http://schemas.openxmlformats.org/officeDocument/2006/relationships/hyperlink" Target="https://legislation.nimonikapp.com/legislations/545744/legislation_texts" TargetMode="External"/><Relationship Id="rId1847" Type="http://schemas.openxmlformats.org/officeDocument/2006/relationships/hyperlink" Target="https://canlii.ca/t/8z20" TargetMode="External"/><Relationship Id="rId1848" Type="http://schemas.openxmlformats.org/officeDocument/2006/relationships/hyperlink" Target="https://laws.justice.gc.ca/eng/regulations/SOR-2016-22/FullText.html" TargetMode="External"/><Relationship Id="rId1849" Type="http://schemas.openxmlformats.org/officeDocument/2006/relationships/hyperlink" Target="https://legislation.nimonikapp.com/legislations/545745/legislation_texts" TargetMode="External"/><Relationship Id="rId1873" Type="http://schemas.openxmlformats.org/officeDocument/2006/relationships/hyperlink" Target="https://legislation.nimonikapp.com/legislations/545783/legislation_texts" TargetMode="External"/><Relationship Id="rId1874" Type="http://schemas.openxmlformats.org/officeDocument/2006/relationships/hyperlink" Target="https://canlii.ca/t/cl5w" TargetMode="External"/><Relationship Id="rId1875" Type="http://schemas.openxmlformats.org/officeDocument/2006/relationships/hyperlink" Target="https://laws-lois.justice.gc.ca/fra/reglements/C.R.C.%2C_ch._1055/TexteComplet.html" TargetMode="External"/><Relationship Id="rId1876" Type="http://schemas.openxmlformats.org/officeDocument/2006/relationships/hyperlink" Target="https://legislation.nimonikapp.com/legislations/545790/legislation_texts" TargetMode="External"/><Relationship Id="rId1877" Type="http://schemas.openxmlformats.org/officeDocument/2006/relationships/hyperlink" Target="https://canlii.ca/t/80fk" TargetMode="External"/><Relationship Id="rId1878" Type="http://schemas.openxmlformats.org/officeDocument/2006/relationships/hyperlink" Target="https://laws.justice.gc.ca/eng/regulations/SOR-95-187/FullText.html" TargetMode="External"/><Relationship Id="rId1879" Type="http://schemas.openxmlformats.org/officeDocument/2006/relationships/hyperlink" Target="https://legislation.nimonikapp.com/legislations/545791/legislation_texts" TargetMode="External"/><Relationship Id="rId1870" Type="http://schemas.openxmlformats.org/officeDocument/2006/relationships/hyperlink" Target="https://legislation.nimonikapp.com/legislations/545782/legislation_texts" TargetMode="External"/><Relationship Id="rId1871" Type="http://schemas.openxmlformats.org/officeDocument/2006/relationships/hyperlink" Target="https://canlii.ca/t/7w2k" TargetMode="External"/><Relationship Id="rId1872" Type="http://schemas.openxmlformats.org/officeDocument/2006/relationships/hyperlink" Target="https://laws-lois.justice.gc.ca/eng/regulations/C.R.C.,_c._1055/FullText.html" TargetMode="External"/><Relationship Id="rId1862" Type="http://schemas.openxmlformats.org/officeDocument/2006/relationships/hyperlink" Target="https://canlii.ca/t/cn9z" TargetMode="External"/><Relationship Id="rId1863" Type="http://schemas.openxmlformats.org/officeDocument/2006/relationships/hyperlink" Target="https://laws.justice.gc.ca/fra/reglements/DORS-2007-160/TexteComplet.html" TargetMode="External"/><Relationship Id="rId1864" Type="http://schemas.openxmlformats.org/officeDocument/2006/relationships/hyperlink" Target="https://legislation.nimonikapp.com/legislations/545764/legislation_texts" TargetMode="External"/><Relationship Id="rId1865" Type="http://schemas.openxmlformats.org/officeDocument/2006/relationships/hyperlink" Target="https://canlii.ca/t/80rv" TargetMode="External"/><Relationship Id="rId1866" Type="http://schemas.openxmlformats.org/officeDocument/2006/relationships/hyperlink" Target="https://laws.justice.gc.ca/eng/regulations/SOR-98-349/FullText.html" TargetMode="External"/><Relationship Id="rId1867" Type="http://schemas.openxmlformats.org/officeDocument/2006/relationships/hyperlink" Target="https://legislation.nimonikapp.com/legislations/545765/legislation_texts" TargetMode="External"/><Relationship Id="rId1868" Type="http://schemas.openxmlformats.org/officeDocument/2006/relationships/hyperlink" Target="https://canlii.ca/t/cpw6" TargetMode="External"/><Relationship Id="rId1869" Type="http://schemas.openxmlformats.org/officeDocument/2006/relationships/hyperlink" Target="https://laws.justice.gc.ca/fra/reglements/DORS-98-349/TexteComplet.html" TargetMode="External"/><Relationship Id="rId1860" Type="http://schemas.openxmlformats.org/officeDocument/2006/relationships/hyperlink" Target="https://laws.justice.gc.ca/eng/regulations/SOR-2007-160/FullText.html" TargetMode="External"/><Relationship Id="rId1861" Type="http://schemas.openxmlformats.org/officeDocument/2006/relationships/hyperlink" Target="https://legislation.nimonikapp.com/legislations/545751/legislation_texts" TargetMode="External"/><Relationship Id="rId1810" Type="http://schemas.openxmlformats.org/officeDocument/2006/relationships/hyperlink" Target="https://www.cer-rec.gc.ca/en/safety-environment/industry-performance/reports-compliance-enforcement/index.html" TargetMode="External"/><Relationship Id="rId1811" Type="http://schemas.openxmlformats.org/officeDocument/2006/relationships/hyperlink" Target="https://legislation.nimonikapp.com/legislations/544893/legislation_texts" TargetMode="External"/><Relationship Id="rId1812" Type="http://schemas.openxmlformats.org/officeDocument/2006/relationships/hyperlink" Target="https://www.cer-rec.gc.ca/fr/securite-environnement/rendement-lindustrie/rapports-conformite-lexecution/audit/exigences-relatives-au-systeme-de-gestion-de-la-regie-et-guide-de-verification-du-systeme-de-gestion-de-la-regie.html" TargetMode="External"/><Relationship Id="rId1813" Type="http://schemas.openxmlformats.org/officeDocument/2006/relationships/hyperlink" Target="https://www.cer-rec.gc.ca/fr/securite-environnement/rendement-lindustrie/rapports-conformite-lexecution/audit/exigences-relatives-au-systeme-de-gestion-de-la-regie-et-guide-de-verification-du-systeme-de-gestion-de-la-regie.pdf" TargetMode="External"/><Relationship Id="rId1814" Type="http://schemas.openxmlformats.org/officeDocument/2006/relationships/hyperlink" Target="https://www.cer-rec.gc.ca/fr/securite-environnement/rendement-lindustrie/rapports-conformite-lexecution/index.html" TargetMode="External"/><Relationship Id="rId1815" Type="http://schemas.openxmlformats.org/officeDocument/2006/relationships/hyperlink" Target="https://legislation.nimonikapp.com/legislations/544894/legislation_texts" TargetMode="External"/><Relationship Id="rId1816" Type="http://schemas.openxmlformats.org/officeDocument/2006/relationships/hyperlink" Target="https://www.cer-rec.gc.ca/en/safety-environment/industry-performance/information-safety-advisories/information-advisory/2021/2020-21-cer-compliance-audits-lessons-learned.html" TargetMode="External"/><Relationship Id="rId1817" Type="http://schemas.openxmlformats.org/officeDocument/2006/relationships/hyperlink" Target="https://www.cer-rec.gc.ca/en/safety-environment/industry-performance/information-safety-advisories/information-advisory/2021/2020-21-cer-compliance-audits-lessons-learned.pdf" TargetMode="External"/><Relationship Id="rId1818" Type="http://schemas.openxmlformats.org/officeDocument/2006/relationships/hyperlink" Target="http://ca-cer-ia2021-003.fr" TargetMode="External"/><Relationship Id="rId1819" Type="http://schemas.openxmlformats.org/officeDocument/2006/relationships/hyperlink" Target="https://legislation.nimonikapp.com/legislations/544895/legislation_texts" TargetMode="External"/><Relationship Id="rId1800" Type="http://schemas.openxmlformats.org/officeDocument/2006/relationships/hyperlink" Target="https://publications.saskatchewan.ca/api/v1/products/103915/formats/115447/download" TargetMode="External"/><Relationship Id="rId1801" Type="http://schemas.openxmlformats.org/officeDocument/2006/relationships/hyperlink" Target="https://publications.saskatchewan.ca/" TargetMode="External"/><Relationship Id="rId1802" Type="http://schemas.openxmlformats.org/officeDocument/2006/relationships/hyperlink" Target="https://publications.saskatchewan.ca/" TargetMode="External"/><Relationship Id="rId1803" Type="http://schemas.openxmlformats.org/officeDocument/2006/relationships/hyperlink" Target="https://legislation.nimonikapp.com/legislations/544878/legislation_texts" TargetMode="External"/><Relationship Id="rId1804" Type="http://schemas.openxmlformats.org/officeDocument/2006/relationships/hyperlink" Target="https://pubsaskdev.blob.core.windows.net/pubsask-prod/104760/104760-Directive_PNG076-Enhanced_Production_Audit_Program_v.4.pdf" TargetMode="External"/><Relationship Id="rId1805" Type="http://schemas.openxmlformats.org/officeDocument/2006/relationships/hyperlink" Target="https://publications.saskatchewan.ca/" TargetMode="External"/><Relationship Id="rId1806" Type="http://schemas.openxmlformats.org/officeDocument/2006/relationships/hyperlink" Target="https://publications.saskatchewan.ca/" TargetMode="External"/><Relationship Id="rId1807" Type="http://schemas.openxmlformats.org/officeDocument/2006/relationships/hyperlink" Target="https://legislation.nimonikapp.com/legislations/544892/legislation_texts" TargetMode="External"/><Relationship Id="rId1808" Type="http://schemas.openxmlformats.org/officeDocument/2006/relationships/hyperlink" Target="https://www.cer-rec.gc.ca/en/safety-environment/industry-performance/reports-compliance-enforcement/audit/cer-management-system-requirements-and-cer-management-system-audit-guide.html" TargetMode="External"/><Relationship Id="rId1809" Type="http://schemas.openxmlformats.org/officeDocument/2006/relationships/hyperlink" Target="https://www.cer-rec.gc.ca/en/safety-environment/industry-performance/reports-compliance-enforcement/audit/cer-management-system-requirements-and-cer-management-system-audit-guide.pdf" TargetMode="External"/><Relationship Id="rId1830" Type="http://schemas.openxmlformats.org/officeDocument/2006/relationships/hyperlink" Target="https://laws.justice.gc.ca/eng/regulations/SOR-96-114/FullText.html" TargetMode="External"/><Relationship Id="rId1831" Type="http://schemas.openxmlformats.org/officeDocument/2006/relationships/hyperlink" Target="https://legislation.nimonikapp.com/legislations/545739/legislation_texts" TargetMode="External"/><Relationship Id="rId1832" Type="http://schemas.openxmlformats.org/officeDocument/2006/relationships/hyperlink" Target="https://canlii.ca/t/cpmq" TargetMode="External"/><Relationship Id="rId1833" Type="http://schemas.openxmlformats.org/officeDocument/2006/relationships/hyperlink" Target="https://laws.justice.gc.ca/fra/reglements/DORS-96-114/TexteComplet.html" TargetMode="External"/><Relationship Id="rId1834" Type="http://schemas.openxmlformats.org/officeDocument/2006/relationships/hyperlink" Target="https://legislation.nimonikapp.com/legislations/545740/legislation_texts" TargetMode="External"/><Relationship Id="rId1835" Type="http://schemas.openxmlformats.org/officeDocument/2006/relationships/hyperlink" Target="https://canlii.ca/t/8z1w" TargetMode="External"/><Relationship Id="rId1836" Type="http://schemas.openxmlformats.org/officeDocument/2006/relationships/hyperlink" Target="https://laws.justice.gc.ca/eng/regulations/SOR-2016-19/FullText.html" TargetMode="External"/><Relationship Id="rId1837" Type="http://schemas.openxmlformats.org/officeDocument/2006/relationships/hyperlink" Target="https://legislation.nimonikapp.com/legislations/545741/legislation_texts" TargetMode="External"/><Relationship Id="rId1838" Type="http://schemas.openxmlformats.org/officeDocument/2006/relationships/hyperlink" Target="https://canlii.ca/t/dn57" TargetMode="External"/><Relationship Id="rId1839" Type="http://schemas.openxmlformats.org/officeDocument/2006/relationships/hyperlink" Target="https://laws.justice.gc.ca/fra/reglements/DORS-2016-19/TexteComplet.html" TargetMode="External"/><Relationship Id="rId1820" Type="http://schemas.openxmlformats.org/officeDocument/2006/relationships/hyperlink" Target="https://www.cer-rec.gc.ca/fr/securite-environnement/rendement-lindustrie/avis-securite-dinformation/avis-dinformation/2021/audits-conformit-regie-2020-2021-lecons-apprises.html" TargetMode="External"/><Relationship Id="rId1821" Type="http://schemas.openxmlformats.org/officeDocument/2006/relationships/hyperlink" Target="https://www.cer-rec.gc.ca/fr/securite-environnement/rendement-lindustrie/avis-securite-dinformation/avis-dinformation/2021/audits-conformit-regie-2020-2021-lecons-apprises.pdf" TargetMode="External"/><Relationship Id="rId1822" Type="http://schemas.openxmlformats.org/officeDocument/2006/relationships/hyperlink" Target="https://legislation.nimonikapp.com/legislations/545722/legislation_texts" TargetMode="External"/><Relationship Id="rId1823" Type="http://schemas.openxmlformats.org/officeDocument/2006/relationships/hyperlink" Target="https://canlii.ca/t/7znh" TargetMode="External"/><Relationship Id="rId1824" Type="http://schemas.openxmlformats.org/officeDocument/2006/relationships/hyperlink" Target="https://laws.justice.gc.ca/eng/regulations/sor-86-1049/FullText.html" TargetMode="External"/><Relationship Id="rId1825" Type="http://schemas.openxmlformats.org/officeDocument/2006/relationships/hyperlink" Target="https://legislation.nimonikapp.com/legislations/545723/legislation_texts" TargetMode="External"/><Relationship Id="rId1826" Type="http://schemas.openxmlformats.org/officeDocument/2006/relationships/hyperlink" Target="https://canlii.ca/t/cnrt" TargetMode="External"/><Relationship Id="rId1827" Type="http://schemas.openxmlformats.org/officeDocument/2006/relationships/hyperlink" Target="https://laws.justice.gc.ca/fra/reglements/DORS-86-1049/TexteComplet.html" TargetMode="External"/><Relationship Id="rId1828" Type="http://schemas.openxmlformats.org/officeDocument/2006/relationships/hyperlink" Target="https://legislation.nimonikapp.com/legislations/545738/legislation_texts" TargetMode="External"/><Relationship Id="rId1829" Type="http://schemas.openxmlformats.org/officeDocument/2006/relationships/hyperlink" Target="https://canlii.ca/t/80jd" TargetMode="External"/><Relationship Id="rId1455" Type="http://schemas.openxmlformats.org/officeDocument/2006/relationships/hyperlink" Target="http://www2.publicationsduquebec.gouv.qc.ca/dynamicSearch/telecharge.php?type=1&amp;file=105402.pdf" TargetMode="External"/><Relationship Id="rId1456" Type="http://schemas.openxmlformats.org/officeDocument/2006/relationships/hyperlink" Target="https://legislation.nimonikapp.com/legislations/466091/legislation_texts" TargetMode="External"/><Relationship Id="rId1457" Type="http://schemas.openxmlformats.org/officeDocument/2006/relationships/hyperlink" Target="https://canlii.ca/t/g5ds" TargetMode="External"/><Relationship Id="rId1458" Type="http://schemas.openxmlformats.org/officeDocument/2006/relationships/hyperlink" Target="http://www2.publicationsduquebec.gouv.qc.ca/dynamicSearch/telecharge.php?type=1&amp;file=76045.pdf" TargetMode="External"/><Relationship Id="rId1459" Type="http://schemas.openxmlformats.org/officeDocument/2006/relationships/hyperlink" Target="https://legislation.nimonikapp.com/legislations/466094/legislation_texts" TargetMode="External"/><Relationship Id="rId629" Type="http://schemas.openxmlformats.org/officeDocument/2006/relationships/hyperlink" Target="http://www.bclaws.ca/civix/document/id/oic/oic_cur/0569_2018" TargetMode="External"/><Relationship Id="rId624" Type="http://schemas.openxmlformats.org/officeDocument/2006/relationships/hyperlink" Target="http://canlii.ca/t/944d" TargetMode="External"/><Relationship Id="rId623" Type="http://schemas.openxmlformats.org/officeDocument/2006/relationships/hyperlink" Target="https://legislation.nimonikapp.com/legislations/179778/legislation_texts" TargetMode="External"/><Relationship Id="rId622" Type="http://schemas.openxmlformats.org/officeDocument/2006/relationships/hyperlink" Target="http://canlii.ca/t/dpv0" TargetMode="External"/><Relationship Id="rId621" Type="http://schemas.openxmlformats.org/officeDocument/2006/relationships/hyperlink" Target="https://legislation.nimonikapp.com/legislations/179777/legislation_texts" TargetMode="External"/><Relationship Id="rId628" Type="http://schemas.openxmlformats.org/officeDocument/2006/relationships/hyperlink" Target="https://open.alberta.ca/dataset/c5471471-79a3-456b-a183-997692da2576/resource/20518078-a3c2-4881-b6c3-68cdff7ed5a4/download/specifiedgasreportingstandard-may28-2018.pdf" TargetMode="External"/><Relationship Id="rId627" Type="http://schemas.openxmlformats.org/officeDocument/2006/relationships/hyperlink" Target="https://legislation.nimonikapp.com/legislations/182038/legislation_texts" TargetMode="External"/><Relationship Id="rId626" Type="http://schemas.openxmlformats.org/officeDocument/2006/relationships/hyperlink" Target="http://canlii.ca/t/dt7q" TargetMode="External"/><Relationship Id="rId625" Type="http://schemas.openxmlformats.org/officeDocument/2006/relationships/hyperlink" Target="https://legislation.nimonikapp.com/legislations/179779/legislation_texts" TargetMode="External"/><Relationship Id="rId1450" Type="http://schemas.openxmlformats.org/officeDocument/2006/relationships/hyperlink" Target="https://canlii.ca/t/bbf6" TargetMode="External"/><Relationship Id="rId620" Type="http://schemas.openxmlformats.org/officeDocument/2006/relationships/hyperlink" Target="http://canlii.ca/t/90qn" TargetMode="External"/><Relationship Id="rId1451" Type="http://schemas.openxmlformats.org/officeDocument/2006/relationships/hyperlink" Target="https://novascotia.ca/just/regulations/regs/coprareaohs.htm" TargetMode="External"/><Relationship Id="rId1452" Type="http://schemas.openxmlformats.org/officeDocument/2006/relationships/hyperlink" Target="https://novascotia.ca/just/regulations/rg2/2021/RG2-2021-12-31.pdf" TargetMode="External"/><Relationship Id="rId1453" Type="http://schemas.openxmlformats.org/officeDocument/2006/relationships/hyperlink" Target="https://legislation.nimonikapp.com/legislations/466090/legislation_texts" TargetMode="External"/><Relationship Id="rId1454" Type="http://schemas.openxmlformats.org/officeDocument/2006/relationships/hyperlink" Target="https://canlii.ca/t/bg9g" TargetMode="External"/><Relationship Id="rId1444" Type="http://schemas.openxmlformats.org/officeDocument/2006/relationships/hyperlink" Target="https://www.qp.alberta.ca/1266.cfm?page=2021_250.cfm&amp;leg_type=Regs&amp;isbncln=9780779827954" TargetMode="External"/><Relationship Id="rId1445" Type="http://schemas.openxmlformats.org/officeDocument/2006/relationships/hyperlink" Target="https://legislation.nimonikapp.com/legislations/465669/legislation_texts" TargetMode="External"/><Relationship Id="rId1446" Type="http://schemas.openxmlformats.org/officeDocument/2006/relationships/hyperlink" Target="https://canlii.ca/t/bbcs" TargetMode="External"/><Relationship Id="rId1447" Type="http://schemas.openxmlformats.org/officeDocument/2006/relationships/hyperlink" Target="https://www.assembly.nl.ca/Legislation/sr/Regulations/rc210079.htm" TargetMode="External"/><Relationship Id="rId1448" Type="http://schemas.openxmlformats.org/officeDocument/2006/relationships/hyperlink" Target="https://www.gov.nl.ca/dgsnl/files/NLG20211224.pdf" TargetMode="External"/><Relationship Id="rId1449" Type="http://schemas.openxmlformats.org/officeDocument/2006/relationships/hyperlink" Target="https://legislation.nimonikapp.com/legislations/465670/legislation_texts" TargetMode="External"/><Relationship Id="rId619" Type="http://schemas.openxmlformats.org/officeDocument/2006/relationships/hyperlink" Target="https://legislation.nimonikapp.com/legislations/179776/legislation_texts" TargetMode="External"/><Relationship Id="rId618" Type="http://schemas.openxmlformats.org/officeDocument/2006/relationships/hyperlink" Target="https://www.aer.ca/regulating-development/rules-and-directives/bulletins/bulletin-2018-25" TargetMode="External"/><Relationship Id="rId613" Type="http://schemas.openxmlformats.org/officeDocument/2006/relationships/hyperlink" Target="https://legislation.nimonikapp.com/legislations/171585/legislation_texts" TargetMode="External"/><Relationship Id="rId612" Type="http://schemas.openxmlformats.org/officeDocument/2006/relationships/hyperlink" Target="https://canlii.ca/t/8t9r" TargetMode="External"/><Relationship Id="rId611" Type="http://schemas.openxmlformats.org/officeDocument/2006/relationships/hyperlink" Target="https://legislation.nimonikapp.com/legislations/171576/legislation_texts" TargetMode="External"/><Relationship Id="rId610" Type="http://schemas.openxmlformats.org/officeDocument/2006/relationships/hyperlink" Target="https://canlii.ca/t/8828" TargetMode="External"/><Relationship Id="rId617" Type="http://schemas.openxmlformats.org/officeDocument/2006/relationships/hyperlink" Target="http://canlii.ca/t/q5ng" TargetMode="External"/><Relationship Id="rId616" Type="http://schemas.openxmlformats.org/officeDocument/2006/relationships/hyperlink" Target="http://canlii.ca/t/lgk4" TargetMode="External"/><Relationship Id="rId615" Type="http://schemas.openxmlformats.org/officeDocument/2006/relationships/hyperlink" Target="http://canlii.ca/t/8zpp" TargetMode="External"/><Relationship Id="rId614" Type="http://schemas.openxmlformats.org/officeDocument/2006/relationships/hyperlink" Target="https://canlii.ca/t/85jj" TargetMode="External"/><Relationship Id="rId1440" Type="http://schemas.openxmlformats.org/officeDocument/2006/relationships/hyperlink" Target="https://ero.ontario.ca/notice/019-4704" TargetMode="External"/><Relationship Id="rId1441" Type="http://schemas.openxmlformats.org/officeDocument/2006/relationships/hyperlink" Target="https://legislation.nimonikapp.com/legislations/465596/legislation_texts" TargetMode="External"/><Relationship Id="rId1442" Type="http://schemas.openxmlformats.org/officeDocument/2006/relationships/hyperlink" Target="https://canlii.ca/t/bbc4" TargetMode="External"/><Relationship Id="rId1443" Type="http://schemas.openxmlformats.org/officeDocument/2006/relationships/hyperlink" Target="https://www.qp.alberta.ca/1266.cfm?page=2021_250.cfm&amp;leg_type=Regs&amp;isbncln=9780779827954&amp;display=html" TargetMode="External"/><Relationship Id="rId1477" Type="http://schemas.openxmlformats.org/officeDocument/2006/relationships/hyperlink" Target="https://canadagazetteducanada.gc.ca/rp-pr/p2/2021/2021-12-22/html/sor-dors248-fra.html" TargetMode="External"/><Relationship Id="rId1478" Type="http://schemas.openxmlformats.org/officeDocument/2006/relationships/hyperlink" Target="https://canadagazetteducanada.gc.ca/rp-pr/p2/2021/2021-12-22/pdf/g2-15526.pdf" TargetMode="External"/><Relationship Id="rId1479" Type="http://schemas.openxmlformats.org/officeDocument/2006/relationships/hyperlink" Target="https://legislation.nimonikapp.com/legislations/466368/legislation_texts" TargetMode="External"/><Relationship Id="rId646" Type="http://schemas.openxmlformats.org/officeDocument/2006/relationships/hyperlink" Target="http://canlii.ca/t/91jd" TargetMode="External"/><Relationship Id="rId645" Type="http://schemas.openxmlformats.org/officeDocument/2006/relationships/hyperlink" Target="https://legislation.nimonikapp.com/legislations/189755/legislation_texts" TargetMode="External"/><Relationship Id="rId644" Type="http://schemas.openxmlformats.org/officeDocument/2006/relationships/hyperlink" Target="https://www.ontario.ca/page/d-3-environmental-considerations-gas-or-oil-pipelines-and-facilities" TargetMode="External"/><Relationship Id="rId643" Type="http://schemas.openxmlformats.org/officeDocument/2006/relationships/hyperlink" Target="https://static.aer.ca/prd/documents/manuals/Manual013.pdf" TargetMode="External"/><Relationship Id="rId649" Type="http://schemas.openxmlformats.org/officeDocument/2006/relationships/hyperlink" Target="https://www.ola.org/en/legislative-business/bills/parliament-42/session-1/bill-32" TargetMode="External"/><Relationship Id="rId648" Type="http://schemas.openxmlformats.org/officeDocument/2006/relationships/hyperlink" Target="http://canlii.ca/t/dqmq" TargetMode="External"/><Relationship Id="rId647" Type="http://schemas.openxmlformats.org/officeDocument/2006/relationships/hyperlink" Target="https://legislation.nimonikapp.com/legislations/189756/legislation_texts" TargetMode="External"/><Relationship Id="rId1470" Type="http://schemas.openxmlformats.org/officeDocument/2006/relationships/hyperlink" Target="https://canadagazetteducanada.gc.ca/rp-pr/p2/2021/2021-12-22/pdf/g2-15526.pdf" TargetMode="External"/><Relationship Id="rId1471" Type="http://schemas.openxmlformats.org/officeDocument/2006/relationships/hyperlink" Target="https://legislation.nimonikapp.com/legislations/466098/legislation_texts" TargetMode="External"/><Relationship Id="rId1472" Type="http://schemas.openxmlformats.org/officeDocument/2006/relationships/hyperlink" Target="https://canlii.ca/t/bbdj" TargetMode="External"/><Relationship Id="rId642" Type="http://schemas.openxmlformats.org/officeDocument/2006/relationships/hyperlink" Target="https://legislation.nimonikapp.com/legislations/189736/legislation_texts" TargetMode="External"/><Relationship Id="rId1473" Type="http://schemas.openxmlformats.org/officeDocument/2006/relationships/hyperlink" Target="https://canadagazetteducanada.gc.ca/rp-pr/p2/2021/2021-12-22/html/sor-dors248-eng.html" TargetMode="External"/><Relationship Id="rId641" Type="http://schemas.openxmlformats.org/officeDocument/2006/relationships/hyperlink" Target="https://static.aer.ca/prd/documents/directives/Directive080.pdf" TargetMode="External"/><Relationship Id="rId1474" Type="http://schemas.openxmlformats.org/officeDocument/2006/relationships/hyperlink" Target="https://canadagazetteducanada.gc.ca/rp-pr/p2/2021/2021-12-22/pdf/g2-15526.pdf" TargetMode="External"/><Relationship Id="rId640" Type="http://schemas.openxmlformats.org/officeDocument/2006/relationships/hyperlink" Target="https://legislation.nimonikapp.com/legislations/189735/legislation_texts" TargetMode="External"/><Relationship Id="rId1475" Type="http://schemas.openxmlformats.org/officeDocument/2006/relationships/hyperlink" Target="https://legislation.nimonikapp.com/legislations/466099/legislation_texts" TargetMode="External"/><Relationship Id="rId1476" Type="http://schemas.openxmlformats.org/officeDocument/2006/relationships/hyperlink" Target="https://canlii.ca/t/g1hv" TargetMode="External"/><Relationship Id="rId1466" Type="http://schemas.openxmlformats.org/officeDocument/2006/relationships/hyperlink" Target="https://canadagazetteducanada.gc.ca/rp-pr/p2/2021/2021-12-22/pdf/g2-15526.pdf" TargetMode="External"/><Relationship Id="rId1467" Type="http://schemas.openxmlformats.org/officeDocument/2006/relationships/hyperlink" Target="https://legislation.nimonikapp.com/legislations/466097/legislation_texts" TargetMode="External"/><Relationship Id="rId1468" Type="http://schemas.openxmlformats.org/officeDocument/2006/relationships/hyperlink" Target="https://canlii.ca/t/g1hw" TargetMode="External"/><Relationship Id="rId1469" Type="http://schemas.openxmlformats.org/officeDocument/2006/relationships/hyperlink" Target="https://canadagazetteducanada.gc.ca/rp-pr/p2/2021/2021-12-22/html/sor-dors247-fra.html" TargetMode="External"/><Relationship Id="rId635" Type="http://schemas.openxmlformats.org/officeDocument/2006/relationships/hyperlink" Target="https://nimonikapp.com/revising_document_not_available.html" TargetMode="External"/><Relationship Id="rId634" Type="http://schemas.openxmlformats.org/officeDocument/2006/relationships/hyperlink" Target="http://canlii.ca/t/82w6" TargetMode="External"/><Relationship Id="rId633" Type="http://schemas.openxmlformats.org/officeDocument/2006/relationships/hyperlink" Target="https://www.canlii.org/en/sk/laws/regu/rrs-c-p-12.1-reg-1/latest/rrs-c-p-12.1-reg-1.html?resultIndex=1" TargetMode="External"/><Relationship Id="rId632" Type="http://schemas.openxmlformats.org/officeDocument/2006/relationships/hyperlink" Target="https://legislation.nimonikapp.com/legislations/183972/legislation_texts" TargetMode="External"/><Relationship Id="rId639" Type="http://schemas.openxmlformats.org/officeDocument/2006/relationships/hyperlink" Target="https://static.aer.ca/prd/documents/directives/Directive037.pdf" TargetMode="External"/><Relationship Id="rId638" Type="http://schemas.openxmlformats.org/officeDocument/2006/relationships/hyperlink" Target="https://legislation.nimonikapp.com/legislations/189734/legislation_texts" TargetMode="External"/><Relationship Id="rId637" Type="http://schemas.openxmlformats.org/officeDocument/2006/relationships/hyperlink" Target="https://static.aer.ca/prd/documents/directives/Directive036.pdf" TargetMode="External"/><Relationship Id="rId636" Type="http://schemas.openxmlformats.org/officeDocument/2006/relationships/hyperlink" Target="https://legislation.nimonikapp.com/legislations/189733/legislation_texts" TargetMode="External"/><Relationship Id="rId1460" Type="http://schemas.openxmlformats.org/officeDocument/2006/relationships/hyperlink" Target="http://www2.publicationsduquebec.gouv.qc.ca/dynamicSearch/telecharge.php?type=1&amp;file=105408.pdf" TargetMode="External"/><Relationship Id="rId1461" Type="http://schemas.openxmlformats.org/officeDocument/2006/relationships/hyperlink" Target="https://legislation.nimonikapp.com/legislations/466095/legislation_texts" TargetMode="External"/><Relationship Id="rId631" Type="http://schemas.openxmlformats.org/officeDocument/2006/relationships/hyperlink" Target="https://www.canlii.org/en/sk/laws/stat/ss-1998-c-p-12.1/latest/ss-1998-c-p-12.1.html" TargetMode="External"/><Relationship Id="rId1462" Type="http://schemas.openxmlformats.org/officeDocument/2006/relationships/hyperlink" Target="http://www2.publicationsduquebec.gouv.qc.ca/dynamicSearch/telecharge.php?type=1&amp;file=76059.pdf" TargetMode="External"/><Relationship Id="rId630" Type="http://schemas.openxmlformats.org/officeDocument/2006/relationships/hyperlink" Target="https://legislation.nimonikapp.com/legislations/183942/legislation_texts" TargetMode="External"/><Relationship Id="rId1463" Type="http://schemas.openxmlformats.org/officeDocument/2006/relationships/hyperlink" Target="https://legislation.nimonikapp.com/legislations/466096/legislation_texts" TargetMode="External"/><Relationship Id="rId1464" Type="http://schemas.openxmlformats.org/officeDocument/2006/relationships/hyperlink" Target="https://canlii.ca/t/bbdk" TargetMode="External"/><Relationship Id="rId1465" Type="http://schemas.openxmlformats.org/officeDocument/2006/relationships/hyperlink" Target="https://canadagazetteducanada.gc.ca/rp-pr/p2/2021/2021-12-22/html/sor-dors247-eng.html" TargetMode="External"/><Relationship Id="rId1411" Type="http://schemas.openxmlformats.org/officeDocument/2006/relationships/hyperlink" Target="https://legislation.nimonikapp.com/legislations/463386/legislation_texts" TargetMode="External"/><Relationship Id="rId1895" Type="http://schemas.openxmlformats.org/officeDocument/2006/relationships/hyperlink" Target="https://canlii.ca/t/7zlp" TargetMode="External"/><Relationship Id="rId1412" Type="http://schemas.openxmlformats.org/officeDocument/2006/relationships/hyperlink" Target="https://canlii.ca/t/80f8" TargetMode="External"/><Relationship Id="rId1896" Type="http://schemas.openxmlformats.org/officeDocument/2006/relationships/hyperlink" Target="https://laws.justice.gc.ca/eng/regulations/SOR-84-592/FullText.html" TargetMode="External"/><Relationship Id="rId1413" Type="http://schemas.openxmlformats.org/officeDocument/2006/relationships/hyperlink" Target="https://laws-lois.justice.gc.ca/eng/regulations/SOR-95-144/FullText.html" TargetMode="External"/><Relationship Id="rId1897" Type="http://schemas.openxmlformats.org/officeDocument/2006/relationships/hyperlink" Target="https://legislation.nimonikapp.com/legislations/545803/legislation_texts" TargetMode="External"/><Relationship Id="rId1414" Type="http://schemas.openxmlformats.org/officeDocument/2006/relationships/hyperlink" Target="https://legislation.nimonikapp.com/legislations/463387/legislation_texts" TargetMode="External"/><Relationship Id="rId1898" Type="http://schemas.openxmlformats.org/officeDocument/2006/relationships/hyperlink" Target="https://canlii.ca/t/cnq1" TargetMode="External"/><Relationship Id="rId1415" Type="http://schemas.openxmlformats.org/officeDocument/2006/relationships/hyperlink" Target="https://canlii.ca/t/cpjl" TargetMode="External"/><Relationship Id="rId1899" Type="http://schemas.openxmlformats.org/officeDocument/2006/relationships/hyperlink" Target="https://laws.justice.gc.ca/fra/reglements/DORS-84-592/TexteComplet.html" TargetMode="External"/><Relationship Id="rId1416" Type="http://schemas.openxmlformats.org/officeDocument/2006/relationships/hyperlink" Target="https://laws-lois.justice.gc.ca/fra/reglements/DORS-95-144/TexteComplet.html" TargetMode="External"/><Relationship Id="rId1417" Type="http://schemas.openxmlformats.org/officeDocument/2006/relationships/hyperlink" Target="https://legislation.nimonikapp.com/legislations/463388/legislation_texts" TargetMode="External"/><Relationship Id="rId1418" Type="http://schemas.openxmlformats.org/officeDocument/2006/relationships/hyperlink" Target="https://canlii.ca/t/8mnc" TargetMode="External"/><Relationship Id="rId1419" Type="http://schemas.openxmlformats.org/officeDocument/2006/relationships/hyperlink" Target="https://laws-lois.justice.gc.ca/eng/regulations/SOR-2009-317/FullText.html" TargetMode="External"/><Relationship Id="rId1890" Type="http://schemas.openxmlformats.org/officeDocument/2006/relationships/hyperlink" Target="https://laws.justice.gc.ca/eng/regulations/SOR-85-912/FullText.html" TargetMode="External"/><Relationship Id="rId1891" Type="http://schemas.openxmlformats.org/officeDocument/2006/relationships/hyperlink" Target="https://legislation.nimonikapp.com/legislations/545801/legislation_texts" TargetMode="External"/><Relationship Id="rId1892" Type="http://schemas.openxmlformats.org/officeDocument/2006/relationships/hyperlink" Target="https://canlii.ca/t/cnrk" TargetMode="External"/><Relationship Id="rId1893" Type="http://schemas.openxmlformats.org/officeDocument/2006/relationships/hyperlink" Target="https://laws.justice.gc.ca/fra/reglements/DORS-85-912/TexteComplet.html" TargetMode="External"/><Relationship Id="rId1410" Type="http://schemas.openxmlformats.org/officeDocument/2006/relationships/hyperlink" Target="https://laws-lois.justice.gc.ca/fra/reglements/DORS-88-601/TexteComplet.html" TargetMode="External"/><Relationship Id="rId1894" Type="http://schemas.openxmlformats.org/officeDocument/2006/relationships/hyperlink" Target="https://legislation.nimonikapp.com/legislations/545802/legislation_texts" TargetMode="External"/><Relationship Id="rId1400" Type="http://schemas.openxmlformats.org/officeDocument/2006/relationships/hyperlink" Target="https://canlii.ca/t/8z65" TargetMode="External"/><Relationship Id="rId1884" Type="http://schemas.openxmlformats.org/officeDocument/2006/relationships/hyperlink" Target="https://laws.justice.gc.ca/eng/regulations/SOR-94-168/FullText.html" TargetMode="External"/><Relationship Id="rId1401" Type="http://schemas.openxmlformats.org/officeDocument/2006/relationships/hyperlink" Target="https://laws-lois.justice.gc.ca/eng/regulations/SOR-2016-70/FullText.html" TargetMode="External"/><Relationship Id="rId1885" Type="http://schemas.openxmlformats.org/officeDocument/2006/relationships/hyperlink" Target="https://legislation.nimonikapp.com/legislations/545797/legislation_texts" TargetMode="External"/><Relationship Id="rId1402" Type="http://schemas.openxmlformats.org/officeDocument/2006/relationships/hyperlink" Target="https://legislation.nimonikapp.com/legislations/463325/legislation_texts" TargetMode="External"/><Relationship Id="rId1886" Type="http://schemas.openxmlformats.org/officeDocument/2006/relationships/hyperlink" Target="https://canlii.ca/t/cpg6" TargetMode="External"/><Relationship Id="rId1403" Type="http://schemas.openxmlformats.org/officeDocument/2006/relationships/hyperlink" Target="https://canlii.ca/t/dn9h" TargetMode="External"/><Relationship Id="rId1887" Type="http://schemas.openxmlformats.org/officeDocument/2006/relationships/hyperlink" Target="https://laws.justice.gc.ca/fra/reglements/DORS-94-168/TexteComplet.html" TargetMode="External"/><Relationship Id="rId1404" Type="http://schemas.openxmlformats.org/officeDocument/2006/relationships/hyperlink" Target="https://laws-lois.justice.gc.ca/fra/reglements/DORS-2016-70/TexteComplet.html" TargetMode="External"/><Relationship Id="rId1888" Type="http://schemas.openxmlformats.org/officeDocument/2006/relationships/hyperlink" Target="https://legislation.nimonikapp.com/legislations/545800/legislation_texts" TargetMode="External"/><Relationship Id="rId1405" Type="http://schemas.openxmlformats.org/officeDocument/2006/relationships/hyperlink" Target="https://legislation.nimonikapp.com/legislations/463378/legislation_texts" TargetMode="External"/><Relationship Id="rId1889" Type="http://schemas.openxmlformats.org/officeDocument/2006/relationships/hyperlink" Target="https://canlii.ca/t/7zn7" TargetMode="External"/><Relationship Id="rId1406" Type="http://schemas.openxmlformats.org/officeDocument/2006/relationships/hyperlink" Target="https://canlii.ca/t/7zw6" TargetMode="External"/><Relationship Id="rId1407" Type="http://schemas.openxmlformats.org/officeDocument/2006/relationships/hyperlink" Target="https://laws-lois.justice.gc.ca/eng/regulations/SOR-88-601/FullText.html" TargetMode="External"/><Relationship Id="rId1408" Type="http://schemas.openxmlformats.org/officeDocument/2006/relationships/hyperlink" Target="https://legislation.nimonikapp.com/legislations/463379/legislation_texts" TargetMode="External"/><Relationship Id="rId1409" Type="http://schemas.openxmlformats.org/officeDocument/2006/relationships/hyperlink" Target="https://canlii.ca/t/cp0j" TargetMode="External"/><Relationship Id="rId1880" Type="http://schemas.openxmlformats.org/officeDocument/2006/relationships/hyperlink" Target="https://canlii.ca/t/cpjw" TargetMode="External"/><Relationship Id="rId1881" Type="http://schemas.openxmlformats.org/officeDocument/2006/relationships/hyperlink" Target="https://laws.justice.gc.ca/fra/reglements/DORS-95-187/TexteComplet.html" TargetMode="External"/><Relationship Id="rId1882" Type="http://schemas.openxmlformats.org/officeDocument/2006/relationships/hyperlink" Target="https://legislation.nimonikapp.com/legislations/545796/legislation_texts" TargetMode="External"/><Relationship Id="rId1883" Type="http://schemas.openxmlformats.org/officeDocument/2006/relationships/hyperlink" Target="https://canlii.ca/t/80bv" TargetMode="External"/><Relationship Id="rId1433" Type="http://schemas.openxmlformats.org/officeDocument/2006/relationships/hyperlink" Target="https://canlii.ca/t/cnpr" TargetMode="External"/><Relationship Id="rId1434" Type="http://schemas.openxmlformats.org/officeDocument/2006/relationships/hyperlink" Target="https://laws-lois.justice.gc.ca/fra/reglements/DORS-84-409/TexteComplet.html" TargetMode="External"/><Relationship Id="rId1435" Type="http://schemas.openxmlformats.org/officeDocument/2006/relationships/hyperlink" Target="https://legislation.nimonikapp.com/legislations/465141/legislation_texts" TargetMode="External"/><Relationship Id="rId1436" Type="http://schemas.openxmlformats.org/officeDocument/2006/relationships/hyperlink" Target="http://www.assnat.qc.ca/en/travaux-parlementaires/projets-loi/projet-loi-494-42-2.html" TargetMode="External"/><Relationship Id="rId1437" Type="http://schemas.openxmlformats.org/officeDocument/2006/relationships/hyperlink" Target="https://legislation.nimonikapp.com/legislations/465142/legislation_texts" TargetMode="External"/><Relationship Id="rId1438" Type="http://schemas.openxmlformats.org/officeDocument/2006/relationships/hyperlink" Target="http://www.assnat.qc.ca/fr/travaux-parlementaires/projets-loi/projet-loi-494-42-2.html" TargetMode="External"/><Relationship Id="rId1439" Type="http://schemas.openxmlformats.org/officeDocument/2006/relationships/hyperlink" Target="https://legislation.nimonikapp.com/legislations/465189/legislation_texts" TargetMode="External"/><Relationship Id="rId609" Type="http://schemas.openxmlformats.org/officeDocument/2006/relationships/hyperlink" Target="https://legislation.nimonikapp.com/legislations/171575/legislation_texts" TargetMode="External"/><Relationship Id="rId608" Type="http://schemas.openxmlformats.org/officeDocument/2006/relationships/hyperlink" Target="https://canlii.ca/t/84pb" TargetMode="External"/><Relationship Id="rId607" Type="http://schemas.openxmlformats.org/officeDocument/2006/relationships/hyperlink" Target="https://legislation.nimonikapp.com/legislations/171572/legislation_texts" TargetMode="External"/><Relationship Id="rId602" Type="http://schemas.openxmlformats.org/officeDocument/2006/relationships/hyperlink" Target="https://static.aer.ca/prd/documents/directives/Directive068.pdf" TargetMode="External"/><Relationship Id="rId601" Type="http://schemas.openxmlformats.org/officeDocument/2006/relationships/hyperlink" Target="https://legislation.nimonikapp.com/legislations/163316/legislation_texts" TargetMode="External"/><Relationship Id="rId600" Type="http://schemas.openxmlformats.org/officeDocument/2006/relationships/hyperlink" Target="https://static.aer.ca/prd/documents/directives/Directive011_March2015.pdf" TargetMode="External"/><Relationship Id="rId606" Type="http://schemas.openxmlformats.org/officeDocument/2006/relationships/hyperlink" Target="https://canlii.ca/t/8qsk" TargetMode="External"/><Relationship Id="rId605" Type="http://schemas.openxmlformats.org/officeDocument/2006/relationships/hyperlink" Target="https://static.aer.ca/prd/documents/directives/Directive001.pdf" TargetMode="External"/><Relationship Id="rId604" Type="http://schemas.openxmlformats.org/officeDocument/2006/relationships/hyperlink" Target="https://legislation.nimonikapp.com/legislations/163824/legislation_texts" TargetMode="External"/><Relationship Id="rId603" Type="http://schemas.openxmlformats.org/officeDocument/2006/relationships/hyperlink" Target="https://www.aer.ca/regulating-development/rules-and-directives/directives/directive-068" TargetMode="External"/><Relationship Id="rId1430" Type="http://schemas.openxmlformats.org/officeDocument/2006/relationships/hyperlink" Target="https://canlii.ca/t/7zlf" TargetMode="External"/><Relationship Id="rId1431" Type="http://schemas.openxmlformats.org/officeDocument/2006/relationships/hyperlink" Target="https://laws-lois.justice.gc.ca/eng/regulations/SOR-84-409/FullText.html" TargetMode="External"/><Relationship Id="rId1432" Type="http://schemas.openxmlformats.org/officeDocument/2006/relationships/hyperlink" Target="https://legislation.nimonikapp.com/legislations/463409/legislation_texts" TargetMode="External"/><Relationship Id="rId1422" Type="http://schemas.openxmlformats.org/officeDocument/2006/relationships/hyperlink" Target="https://laws-lois.justice.gc.ca/fra/reglements/DORS-2009-317/TexteComplet.html" TargetMode="External"/><Relationship Id="rId1423" Type="http://schemas.openxmlformats.org/officeDocument/2006/relationships/hyperlink" Target="https://legislation.nimonikapp.com/legislations/463390/legislation_texts" TargetMode="External"/><Relationship Id="rId1424" Type="http://schemas.openxmlformats.org/officeDocument/2006/relationships/hyperlink" Target="https://canlii.ca/t/80fn" TargetMode="External"/><Relationship Id="rId1425" Type="http://schemas.openxmlformats.org/officeDocument/2006/relationships/hyperlink" Target="https://laws-lois.justice.gc.ca/eng/regulations/SOR-95-191/FullText.html" TargetMode="External"/><Relationship Id="rId1426" Type="http://schemas.openxmlformats.org/officeDocument/2006/relationships/hyperlink" Target="https://legislation.nimonikapp.com/legislations/463391/legislation_texts" TargetMode="External"/><Relationship Id="rId1427" Type="http://schemas.openxmlformats.org/officeDocument/2006/relationships/hyperlink" Target="https://canlii.ca/t/cpk0" TargetMode="External"/><Relationship Id="rId1428" Type="http://schemas.openxmlformats.org/officeDocument/2006/relationships/hyperlink" Target="https://laws-lois.justice.gc.ca/fra/reglements/DORS-95-191/TexteComplet.html" TargetMode="External"/><Relationship Id="rId1429" Type="http://schemas.openxmlformats.org/officeDocument/2006/relationships/hyperlink" Target="https://legislation.nimonikapp.com/legislations/463408/legislation_texts" TargetMode="External"/><Relationship Id="rId1420" Type="http://schemas.openxmlformats.org/officeDocument/2006/relationships/hyperlink" Target="https://legislation.nimonikapp.com/legislations/463389/legislation_texts" TargetMode="External"/><Relationship Id="rId1421" Type="http://schemas.openxmlformats.org/officeDocument/2006/relationships/hyperlink" Target="https://canlii.ca/t/dbrp" TargetMode="External"/><Relationship Id="rId1059" Type="http://schemas.openxmlformats.org/officeDocument/2006/relationships/hyperlink" Target="https://www.aer.ca/documents/ids/id2000-04.pdf" TargetMode="External"/><Relationship Id="rId228" Type="http://schemas.openxmlformats.org/officeDocument/2006/relationships/hyperlink" Target="https://legislation.nimonikapp.com/legislations/3764/legislation_texts" TargetMode="External"/><Relationship Id="rId227" Type="http://schemas.openxmlformats.org/officeDocument/2006/relationships/hyperlink" Target="https://www.cer-rec.gc.ca/fr/securite-environnement/rendement-lindustrie/mesures-rendement-pipelines/directives-relatives-rapports-mesures-rendement-pipelines.html" TargetMode="External"/><Relationship Id="rId226" Type="http://schemas.openxmlformats.org/officeDocument/2006/relationships/hyperlink" Target="https://www.cer-rec.gc.ca/fr/securite-environnement/rendement-lindustrie/mesures-rendement-pipelines/directives-relatives-rapports-mesures-rendement-pipelines.pdf" TargetMode="External"/><Relationship Id="rId225" Type="http://schemas.openxmlformats.org/officeDocument/2006/relationships/hyperlink" Target="https://legislation.nimonikapp.com/legislations/173022/legislation_texts" TargetMode="External"/><Relationship Id="rId229" Type="http://schemas.openxmlformats.org/officeDocument/2006/relationships/hyperlink" Target="https://www.cer-rec.gc.ca/en/safety-environment/environment/remediation/remediation-process-guide-2020/remediation-process-guide.pdf" TargetMode="External"/><Relationship Id="rId1050" Type="http://schemas.openxmlformats.org/officeDocument/2006/relationships/hyperlink" Target="https://www.aer.ca/documents/ids/id90-01.pdf" TargetMode="External"/><Relationship Id="rId220" Type="http://schemas.openxmlformats.org/officeDocument/2006/relationships/hyperlink" Target="https://www.cer-rec.gc.ca/fr/demandes-audiences/deposer-demande-documents/guides-depot/guide-depot/index.html" TargetMode="External"/><Relationship Id="rId1051" Type="http://schemas.openxmlformats.org/officeDocument/2006/relationships/hyperlink" Target="https://www.aer.ca/regulating-development/rules-and-directives/interim-directives/id-90-01" TargetMode="External"/><Relationship Id="rId1052" Type="http://schemas.openxmlformats.org/officeDocument/2006/relationships/hyperlink" Target="https://legislation.nimonikapp.com/legislations/238321/legislation_texts" TargetMode="External"/><Relationship Id="rId1053" Type="http://schemas.openxmlformats.org/officeDocument/2006/relationships/hyperlink" Target="https://www.aer.ca/documents/ids/id91-03.pdf" TargetMode="External"/><Relationship Id="rId1054" Type="http://schemas.openxmlformats.org/officeDocument/2006/relationships/hyperlink" Target="https://www.aer.ca/regulating-development/rules-and-directives/interim-directives/id-91-03" TargetMode="External"/><Relationship Id="rId224" Type="http://schemas.openxmlformats.org/officeDocument/2006/relationships/hyperlink" Target="https://www.cer-rec.gc.ca/en/safety-environment/industry-performance/pipeline-performance-measures/pipeline-performance-measures-reporting-guidance.html" TargetMode="External"/><Relationship Id="rId1055" Type="http://schemas.openxmlformats.org/officeDocument/2006/relationships/hyperlink" Target="https://legislation.nimonikapp.com/legislations/238322/legislation_texts" TargetMode="External"/><Relationship Id="rId223" Type="http://schemas.openxmlformats.org/officeDocument/2006/relationships/hyperlink" Target="https://www.cer-rec.gc.ca/en/safety-environment/industry-performance/pipeline-performance-measures/pipeline-performance-measures-reporting-guidance.pdf" TargetMode="External"/><Relationship Id="rId1056" Type="http://schemas.openxmlformats.org/officeDocument/2006/relationships/hyperlink" Target="https://www.aer.ca/documents/ids/id99-04.pdf" TargetMode="External"/><Relationship Id="rId222" Type="http://schemas.openxmlformats.org/officeDocument/2006/relationships/hyperlink" Target="https://legislation.nimonikapp.com/legislations/3763/legislation_texts" TargetMode="External"/><Relationship Id="rId1057" Type="http://schemas.openxmlformats.org/officeDocument/2006/relationships/hyperlink" Target="https://www.aer.ca/regulating-development/rules-and-directives/interim-directives/id-99-04" TargetMode="External"/><Relationship Id="rId221" Type="http://schemas.openxmlformats.org/officeDocument/2006/relationships/hyperlink" Target="https://www.cer-rec.gc.ca/fr/demandes-audiences/deposer-demande-documents/guides-depot/guide-depot/guide-depot.pdf" TargetMode="External"/><Relationship Id="rId1058" Type="http://schemas.openxmlformats.org/officeDocument/2006/relationships/hyperlink" Target="https://legislation.nimonikapp.com/legislations/238323/legislation_texts" TargetMode="External"/><Relationship Id="rId1048" Type="http://schemas.openxmlformats.org/officeDocument/2006/relationships/hyperlink" Target="https://www.aer.ca/documents/directives/Directive058_addendum.pdf" TargetMode="External"/><Relationship Id="rId1049" Type="http://schemas.openxmlformats.org/officeDocument/2006/relationships/hyperlink" Target="https://legislation.nimonikapp.com/legislations/238320/legislation_texts" TargetMode="External"/><Relationship Id="rId217" Type="http://schemas.openxmlformats.org/officeDocument/2006/relationships/hyperlink" Target="https://legislation.nimonikapp.com/legislations/3762/legislation_texts" TargetMode="External"/><Relationship Id="rId216" Type="http://schemas.openxmlformats.org/officeDocument/2006/relationships/hyperlink" Target="https://www.cer-rec.gc.ca/bts/ctrg/gnnb/nshrppln/2015-03-26nbl-fra.html" TargetMode="External"/><Relationship Id="rId215" Type="http://schemas.openxmlformats.org/officeDocument/2006/relationships/hyperlink" Target="https://www.cer-rec.gc.ca/bts/ctrg/gnnb/nshrppln/2015-03-26nbl-eng.html" TargetMode="External"/><Relationship Id="rId699" Type="http://schemas.openxmlformats.org/officeDocument/2006/relationships/hyperlink" Target="https://static.aer.ca/prd/documents/ids/id99-04.pdf" TargetMode="External"/><Relationship Id="rId214" Type="http://schemas.openxmlformats.org/officeDocument/2006/relationships/hyperlink" Target="https://canlii.ca/t/dnj8" TargetMode="External"/><Relationship Id="rId698" Type="http://schemas.openxmlformats.org/officeDocument/2006/relationships/hyperlink" Target="https://legislation.nimonikapp.com/legislations/197185/legislation_texts" TargetMode="External"/><Relationship Id="rId219" Type="http://schemas.openxmlformats.org/officeDocument/2006/relationships/hyperlink" Target="https://www.cer-rec.gc.ca/en/applications-hearings/submit-applications-documents/filing-manuals/filing-manual/filing-manual.pdf" TargetMode="External"/><Relationship Id="rId218" Type="http://schemas.openxmlformats.org/officeDocument/2006/relationships/hyperlink" Target="https://www.cer-rec.gc.ca/en/applications-hearings/submit-applications-documents/filing-manuals/filing-manual/index.html" TargetMode="External"/><Relationship Id="rId693" Type="http://schemas.openxmlformats.org/officeDocument/2006/relationships/hyperlink" Target="https://open.alberta.ca/dataset/283a4de9-030d-4dc9-851c-37f80eab8d42/resource/c26561a7-52d0-4904-a0bd-14f776c44681/download/2011-revegetation-active-tailings-dams-oil-sands-mines-facts-your-fingertips.pdf" TargetMode="External"/><Relationship Id="rId1040" Type="http://schemas.openxmlformats.org/officeDocument/2006/relationships/hyperlink" Target="https://laws-lois.justice.gc.ca/eng/regulations/SOR-81-235/page-1.html" TargetMode="External"/><Relationship Id="rId692" Type="http://schemas.openxmlformats.org/officeDocument/2006/relationships/hyperlink" Target="https://legislation.nimonikapp.com/legislations/197182/legislation_texts" TargetMode="External"/><Relationship Id="rId1041" Type="http://schemas.openxmlformats.org/officeDocument/2006/relationships/hyperlink" Target="https://legislation.nimonikapp.com/legislations/439719/legislation_texts" TargetMode="External"/><Relationship Id="rId691" Type="http://schemas.openxmlformats.org/officeDocument/2006/relationships/hyperlink" Target="http://canlii.ca/t/965p" TargetMode="External"/><Relationship Id="rId1042" Type="http://schemas.openxmlformats.org/officeDocument/2006/relationships/hyperlink" Target="https://laws-lois.justice.gc.ca/fra/reglements/DORS-81-235/page-1.html" TargetMode="External"/><Relationship Id="rId690" Type="http://schemas.openxmlformats.org/officeDocument/2006/relationships/hyperlink" Target="https://legislation.nimonikapp.com/legislations/195547/legislation_texts" TargetMode="External"/><Relationship Id="rId1043" Type="http://schemas.openxmlformats.org/officeDocument/2006/relationships/hyperlink" Target="https://legislation.nimonikapp.com/legislations/238318/legislation_texts" TargetMode="External"/><Relationship Id="rId213" Type="http://schemas.openxmlformats.org/officeDocument/2006/relationships/hyperlink" Target="https://legislation.nimonikapp.com/legislations/172963/legislation_texts" TargetMode="External"/><Relationship Id="rId697" Type="http://schemas.openxmlformats.org/officeDocument/2006/relationships/hyperlink" Target="https://static.aer.ca/prd/documents/ids/id2000-04.pdf" TargetMode="External"/><Relationship Id="rId1044" Type="http://schemas.openxmlformats.org/officeDocument/2006/relationships/hyperlink" Target="https://www.aer.ca/documents/directives/Directive032.pdf" TargetMode="External"/><Relationship Id="rId212" Type="http://schemas.openxmlformats.org/officeDocument/2006/relationships/hyperlink" Target="https://canlii.ca/t/8zdx" TargetMode="External"/><Relationship Id="rId696" Type="http://schemas.openxmlformats.org/officeDocument/2006/relationships/hyperlink" Target="https://legislation.nimonikapp.com/legislations/197184/legislation_texts" TargetMode="External"/><Relationship Id="rId1045" Type="http://schemas.openxmlformats.org/officeDocument/2006/relationships/hyperlink" Target="https://www.aer.ca/regulating-development/rules-and-directives/directives/directive-032" TargetMode="External"/><Relationship Id="rId211" Type="http://schemas.openxmlformats.org/officeDocument/2006/relationships/hyperlink" Target="https://legislation.nimonikapp.com/legislations/3760/legislation_texts" TargetMode="External"/><Relationship Id="rId695" Type="http://schemas.openxmlformats.org/officeDocument/2006/relationships/hyperlink" Target="https://open.alberta.ca/dataset/46dbd207-c202-4907-a4f1-4660dc03c2c7/resource/25510b29-240b-4ad1-acbf-24e3c43d1dd5/download/coaloilsandsreclamationreqs-dec02-2015.pdf" TargetMode="External"/><Relationship Id="rId1046" Type="http://schemas.openxmlformats.org/officeDocument/2006/relationships/hyperlink" Target="https://legislation.nimonikapp.com/legislations/238319/legislation_texts" TargetMode="External"/><Relationship Id="rId210" Type="http://schemas.openxmlformats.org/officeDocument/2006/relationships/hyperlink" Target="https://canlii.ca/t/cq0s" TargetMode="External"/><Relationship Id="rId694" Type="http://schemas.openxmlformats.org/officeDocument/2006/relationships/hyperlink" Target="https://legislation.nimonikapp.com/legislations/197183/legislation_texts" TargetMode="External"/><Relationship Id="rId1047" Type="http://schemas.openxmlformats.org/officeDocument/2006/relationships/hyperlink" Target="https://www.aer.ca/regulating-development/rules-and-directives/directives/directive-058-addendum" TargetMode="External"/><Relationship Id="rId249" Type="http://schemas.openxmlformats.org/officeDocument/2006/relationships/hyperlink" Target="https://www.canlii.org/en/ab/laws/regu/alta-reg-218-2012/latest/alta-reg-218-2012.html" TargetMode="External"/><Relationship Id="rId248" Type="http://schemas.openxmlformats.org/officeDocument/2006/relationships/hyperlink" Target="https://legislation.nimonikapp.com/legislations/3810/legislation_texts" TargetMode="External"/><Relationship Id="rId247" Type="http://schemas.openxmlformats.org/officeDocument/2006/relationships/hyperlink" Target="https://canlii.ca/t/ckt3" TargetMode="External"/><Relationship Id="rId1070" Type="http://schemas.openxmlformats.org/officeDocument/2006/relationships/hyperlink" Target="https://www.aer.ca/documents/directives/Directive034-1979.pdf" TargetMode="External"/><Relationship Id="rId1071" Type="http://schemas.openxmlformats.org/officeDocument/2006/relationships/hyperlink" Target="https://www.aer.ca/regulating-development/rules-and-directives/directives/directive-034" TargetMode="External"/><Relationship Id="rId1072" Type="http://schemas.openxmlformats.org/officeDocument/2006/relationships/hyperlink" Target="https://legislation.nimonikapp.com/legislations/238329/legislation_texts" TargetMode="External"/><Relationship Id="rId242" Type="http://schemas.openxmlformats.org/officeDocument/2006/relationships/hyperlink" Target="https://legislation.nimonikapp.com/legislations/3800/legislation_texts" TargetMode="External"/><Relationship Id="rId1073" Type="http://schemas.openxmlformats.org/officeDocument/2006/relationships/hyperlink" Target="https://www.aer.ca/documents/manuals/Manual009.pdf" TargetMode="External"/><Relationship Id="rId241" Type="http://schemas.openxmlformats.org/officeDocument/2006/relationships/hyperlink" Target="https://canlii.ca/t/rm1" TargetMode="External"/><Relationship Id="rId1074" Type="http://schemas.openxmlformats.org/officeDocument/2006/relationships/hyperlink" Target="https://legislation.nimonikapp.com/legislations/238330/legislation_texts" TargetMode="External"/><Relationship Id="rId240" Type="http://schemas.openxmlformats.org/officeDocument/2006/relationships/hyperlink" Target="https://legislation.nimonikapp.com/legislations/3768/legislation_texts" TargetMode="External"/><Relationship Id="rId1075" Type="http://schemas.openxmlformats.org/officeDocument/2006/relationships/hyperlink" Target="https://www.aer.ca/documents/manuals/Manual011.pdf" TargetMode="External"/><Relationship Id="rId1076" Type="http://schemas.openxmlformats.org/officeDocument/2006/relationships/hyperlink" Target="https://legislation.nimonikapp.com/legislations/238334/legislation_texts" TargetMode="External"/><Relationship Id="rId246" Type="http://schemas.openxmlformats.org/officeDocument/2006/relationships/hyperlink" Target="https://legislation.nimonikapp.com/legislations/172987/legislation_texts" TargetMode="External"/><Relationship Id="rId1077" Type="http://schemas.openxmlformats.org/officeDocument/2006/relationships/hyperlink" Target="http://canlii.ca/t/8mcm" TargetMode="External"/><Relationship Id="rId245" Type="http://schemas.openxmlformats.org/officeDocument/2006/relationships/hyperlink" Target="https://canlii.ca/t/7vpr" TargetMode="External"/><Relationship Id="rId1078" Type="http://schemas.openxmlformats.org/officeDocument/2006/relationships/hyperlink" Target="http://extwprlegs1.fao.org/docs/pdf/al95385.pdf" TargetMode="External"/><Relationship Id="rId244" Type="http://schemas.openxmlformats.org/officeDocument/2006/relationships/hyperlink" Target="https://legislation.nimonikapp.com/legislations/3803/legislation_texts" TargetMode="External"/><Relationship Id="rId1079" Type="http://schemas.openxmlformats.org/officeDocument/2006/relationships/hyperlink" Target="https://legislation.nimonikapp.com/legislations/238335/legislation_texts" TargetMode="External"/><Relationship Id="rId243" Type="http://schemas.openxmlformats.org/officeDocument/2006/relationships/hyperlink" Target="https://static.aer.ca/prd/documents/manuals/Manual001.pdf" TargetMode="External"/><Relationship Id="rId239" Type="http://schemas.openxmlformats.org/officeDocument/2006/relationships/hyperlink" Target="https://www.cer-rec.gc.ca/bts/ctrg/gnnb/nshrppln/2015-07-17nbl-fra.html" TargetMode="External"/><Relationship Id="rId238" Type="http://schemas.openxmlformats.org/officeDocument/2006/relationships/hyperlink" Target="https://www.cer-rec.gc.ca/bts/ctrg/gnnb/nshrppln/2015-07-17nbl-fra.pdf" TargetMode="External"/><Relationship Id="rId237" Type="http://schemas.openxmlformats.org/officeDocument/2006/relationships/hyperlink" Target="https://legislation.nimonikapp.com/legislations/172996/legislation_texts" TargetMode="External"/><Relationship Id="rId236" Type="http://schemas.openxmlformats.org/officeDocument/2006/relationships/hyperlink" Target="https://www.cer-rec.gc.ca/bts/ctrg/gnnb/nshrppln/2015-07-17nbl-eng.html" TargetMode="External"/><Relationship Id="rId1060" Type="http://schemas.openxmlformats.org/officeDocument/2006/relationships/hyperlink" Target="https://www.aer.ca/regulating-development/rules-and-directives/interim-directives/id-2000-04" TargetMode="External"/><Relationship Id="rId1061" Type="http://schemas.openxmlformats.org/officeDocument/2006/relationships/hyperlink" Target="https://legislation.nimonikapp.com/legislations/238324/legislation_texts" TargetMode="External"/><Relationship Id="rId231" Type="http://schemas.openxmlformats.org/officeDocument/2006/relationships/hyperlink" Target="https://legislation.nimonikapp.com/legislations/173000/legislation_texts" TargetMode="External"/><Relationship Id="rId1062" Type="http://schemas.openxmlformats.org/officeDocument/2006/relationships/hyperlink" Target="https://www.aer.ca/documents/ids/id2001-03.pdf" TargetMode="External"/><Relationship Id="rId230" Type="http://schemas.openxmlformats.org/officeDocument/2006/relationships/hyperlink" Target="https://www.cer-rec.gc.ca/sftnvrnmnt/nvrnmnt/rmdtnprcssgd/index-eng.html" TargetMode="External"/><Relationship Id="rId1063" Type="http://schemas.openxmlformats.org/officeDocument/2006/relationships/hyperlink" Target="https://www.aer.ca/regulating-development/rules-and-directives/interim-directives/id-2001-03" TargetMode="External"/><Relationship Id="rId1064" Type="http://schemas.openxmlformats.org/officeDocument/2006/relationships/hyperlink" Target="https://legislation.nimonikapp.com/legislations/238326/legislation_texts" TargetMode="External"/><Relationship Id="rId1065" Type="http://schemas.openxmlformats.org/officeDocument/2006/relationships/hyperlink" Target="https://static.aer.ca/prd/documents/directives/Directive007-1.pdf" TargetMode="External"/><Relationship Id="rId235" Type="http://schemas.openxmlformats.org/officeDocument/2006/relationships/hyperlink" Target="https://www.cer-rec.gc.ca/bts/ctrg/gnnb/nshrppln/2015-07-17nbl-eng.pdf" TargetMode="External"/><Relationship Id="rId1066" Type="http://schemas.openxmlformats.org/officeDocument/2006/relationships/hyperlink" Target="https://www.aer.ca/regulating-development/rules-and-directives/directives/directive-007-1" TargetMode="External"/><Relationship Id="rId234" Type="http://schemas.openxmlformats.org/officeDocument/2006/relationships/hyperlink" Target="https://legislation.nimonikapp.com/legislations/3765/legislation_texts" TargetMode="External"/><Relationship Id="rId1067" Type="http://schemas.openxmlformats.org/officeDocument/2006/relationships/hyperlink" Target="https://legislation.nimonikapp.com/legislations/238327/legislation_texts" TargetMode="External"/><Relationship Id="rId233" Type="http://schemas.openxmlformats.org/officeDocument/2006/relationships/hyperlink" Target="https://www.cer-rec.gc.ca/fr/securite-environnement/environnement/assainissement/index.html" TargetMode="External"/><Relationship Id="rId1068" Type="http://schemas.openxmlformats.org/officeDocument/2006/relationships/hyperlink" Target="https://www.aer.ca/documents/directives/Directive031.pdf" TargetMode="External"/><Relationship Id="rId232" Type="http://schemas.openxmlformats.org/officeDocument/2006/relationships/hyperlink" Target="https://www.cer-rec.gc.ca/fr/securite-environnement/environnement/assainissement/guide-processus-assainissement-2020/guide-processus-assainissement-2020.pdf" TargetMode="External"/><Relationship Id="rId1069" Type="http://schemas.openxmlformats.org/officeDocument/2006/relationships/hyperlink" Target="https://www.aer.ca/regulating-development/rules-and-directives/directives/directive-031" TargetMode="External"/><Relationship Id="rId1015" Type="http://schemas.openxmlformats.org/officeDocument/2006/relationships/hyperlink" Target="https://legislation.nimonikapp.com/legislations/237514/legislation_texts" TargetMode="External"/><Relationship Id="rId1499" Type="http://schemas.openxmlformats.org/officeDocument/2006/relationships/hyperlink" Target="https://legislation.nimonikapp.com/legislations/469189/legislation_texts" TargetMode="External"/><Relationship Id="rId1016" Type="http://schemas.openxmlformats.org/officeDocument/2006/relationships/hyperlink" Target="http://canlii.ca/t/9m1x" TargetMode="External"/><Relationship Id="rId1017" Type="http://schemas.openxmlformats.org/officeDocument/2006/relationships/hyperlink" Target="https://legislation.nimonikapp.com/legislations/237515/legislation_texts" TargetMode="External"/><Relationship Id="rId1018" Type="http://schemas.openxmlformats.org/officeDocument/2006/relationships/hyperlink" Target="http://canlii.ca/t/fb58" TargetMode="External"/><Relationship Id="rId1019" Type="http://schemas.openxmlformats.org/officeDocument/2006/relationships/hyperlink" Target="https://legislation.nimonikapp.com/legislations/238125/legislation_texts" TargetMode="External"/><Relationship Id="rId668" Type="http://schemas.openxmlformats.org/officeDocument/2006/relationships/hyperlink" Target="https://store.csagroup.org/ccrz__ProductDetails?viewState=DetailView&amp;cartID=&amp;sku=Z246.2-18&amp;isCSRFlow=true&amp;portalUser=&amp;store=&amp;cclcl=fr_CA" TargetMode="External"/><Relationship Id="rId667" Type="http://schemas.openxmlformats.org/officeDocument/2006/relationships/hyperlink" Target="http://www.bclaws.ca/civix/document/id/regulationbulletin/regulationbulletin/Reg0286_2018" TargetMode="External"/><Relationship Id="rId666" Type="http://schemas.openxmlformats.org/officeDocument/2006/relationships/hyperlink" Target="http://canlii.ca/t/8md5" TargetMode="External"/><Relationship Id="rId665" Type="http://schemas.openxmlformats.org/officeDocument/2006/relationships/hyperlink" Target="https://legislation.nimonikapp.com/legislations/191227/legislation_texts" TargetMode="External"/><Relationship Id="rId669" Type="http://schemas.openxmlformats.org/officeDocument/2006/relationships/hyperlink" Target="https://store.csagroup.org/ccrz__ProductDetails?viewState=DetailView&amp;cartID=&amp;sku=Z246.2-18&amp;isCSRFlow=true&amp;portalUser=&amp;store=&amp;cclcl=fr_CA" TargetMode="External"/><Relationship Id="rId1490" Type="http://schemas.openxmlformats.org/officeDocument/2006/relationships/hyperlink" Target="https://laws-lois.justice.gc.ca/fra/lois/p-12/TexteComplet.html" TargetMode="External"/><Relationship Id="rId660" Type="http://schemas.openxmlformats.org/officeDocument/2006/relationships/hyperlink" Target="https://static.aer.ca/prd/documents/manuals/Manual016.pdf" TargetMode="External"/><Relationship Id="rId1491" Type="http://schemas.openxmlformats.org/officeDocument/2006/relationships/hyperlink" Target="https://legislation.nimonikapp.com/legislations/466890/legislation_texts" TargetMode="External"/><Relationship Id="rId1492" Type="http://schemas.openxmlformats.org/officeDocument/2006/relationships/hyperlink" Target="https://ero.ontario.ca/notice/019-4770" TargetMode="External"/><Relationship Id="rId1493" Type="http://schemas.openxmlformats.org/officeDocument/2006/relationships/hyperlink" Target="https://legislation.nimonikapp.com/legislations/469185/legislation_texts" TargetMode="External"/><Relationship Id="rId1010" Type="http://schemas.openxmlformats.org/officeDocument/2006/relationships/hyperlink" Target="https://www.parl.ca/DocumentViewer/en/43-1/bill/C-229/first-reading" TargetMode="External"/><Relationship Id="rId1494" Type="http://schemas.openxmlformats.org/officeDocument/2006/relationships/hyperlink" Target="https://canlii.ca/t/8z21" TargetMode="External"/><Relationship Id="rId664" Type="http://schemas.openxmlformats.org/officeDocument/2006/relationships/hyperlink" Target="http://canlii.ca/t/87tt" TargetMode="External"/><Relationship Id="rId1011" Type="http://schemas.openxmlformats.org/officeDocument/2006/relationships/hyperlink" Target="https://www.parl.ca/LegisInfo/BillDetails.aspx?Mode=1&amp;billId=10653714&amp;Language=E" TargetMode="External"/><Relationship Id="rId1495" Type="http://schemas.openxmlformats.org/officeDocument/2006/relationships/hyperlink" Target="https://laws-lois.justice.gc.ca/eng/regulations/SOR-2016-23/FullText.html" TargetMode="External"/><Relationship Id="rId663" Type="http://schemas.openxmlformats.org/officeDocument/2006/relationships/hyperlink" Target="https://legislation.nimonikapp.com/legislations/191157/legislation_texts" TargetMode="External"/><Relationship Id="rId1012" Type="http://schemas.openxmlformats.org/officeDocument/2006/relationships/hyperlink" Target="https://legislation.nimonikapp.com/legislations/237392/legislation_texts" TargetMode="External"/><Relationship Id="rId1496" Type="http://schemas.openxmlformats.org/officeDocument/2006/relationships/hyperlink" Target="https://legislation.nimonikapp.com/legislations/469186/legislation_texts" TargetMode="External"/><Relationship Id="rId662" Type="http://schemas.openxmlformats.org/officeDocument/2006/relationships/hyperlink" Target="https://canlii.ca/t/9635" TargetMode="External"/><Relationship Id="rId1013" Type="http://schemas.openxmlformats.org/officeDocument/2006/relationships/hyperlink" Target="https://www.parl.ca/DocumentViewer/fr/43-1/projet-loi/C-229/premiere-lecture" TargetMode="External"/><Relationship Id="rId1497" Type="http://schemas.openxmlformats.org/officeDocument/2006/relationships/hyperlink" Target="https://canlii.ca/t/dn5c" TargetMode="External"/><Relationship Id="rId661" Type="http://schemas.openxmlformats.org/officeDocument/2006/relationships/hyperlink" Target="https://legislation.nimonikapp.com/legislations/190910/legislation_texts" TargetMode="External"/><Relationship Id="rId1014" Type="http://schemas.openxmlformats.org/officeDocument/2006/relationships/hyperlink" Target="https://www.parl.ca/LegisInfo/BillDetails.aspx?Mode=1&amp;billId=10653714&amp;Language=F" TargetMode="External"/><Relationship Id="rId1498" Type="http://schemas.openxmlformats.org/officeDocument/2006/relationships/hyperlink" Target="https://laws-lois.justice.gc.ca/fra/reglements/DORS-2016-23/TexteComplet.html" TargetMode="External"/><Relationship Id="rId1004" Type="http://schemas.openxmlformats.org/officeDocument/2006/relationships/hyperlink" Target="https://ero.ontario.ca/notice/019-1234" TargetMode="External"/><Relationship Id="rId1488" Type="http://schemas.openxmlformats.org/officeDocument/2006/relationships/hyperlink" Target="https://legislation.nimonikapp.com/legislations/466397/legislation_texts" TargetMode="External"/><Relationship Id="rId1005" Type="http://schemas.openxmlformats.org/officeDocument/2006/relationships/hyperlink" Target="https://legislation.nimonikapp.com/legislations/236672/legislation_texts" TargetMode="External"/><Relationship Id="rId1489" Type="http://schemas.openxmlformats.org/officeDocument/2006/relationships/hyperlink" Target="https://canlii.ca/t/cknd" TargetMode="External"/><Relationship Id="rId1006" Type="http://schemas.openxmlformats.org/officeDocument/2006/relationships/hyperlink" Target="https://www.bcogc.ca/files/operations-documentation/Oil-and-Gas-Operations-Manual/Supporting-Documents/femp-guidance-july-release-v10-2019.pdf" TargetMode="External"/><Relationship Id="rId1007" Type="http://schemas.openxmlformats.org/officeDocument/2006/relationships/hyperlink" Target="https://legislation.nimonikapp.com/legislations/236673/legislation_texts" TargetMode="External"/><Relationship Id="rId1008" Type="http://schemas.openxmlformats.org/officeDocument/2006/relationships/hyperlink" Target="https://static.aer.ca/prd/documents/manuals/Manual007.pdf" TargetMode="External"/><Relationship Id="rId1009" Type="http://schemas.openxmlformats.org/officeDocument/2006/relationships/hyperlink" Target="https://legislation.nimonikapp.com/legislations/237391/legislation_texts" TargetMode="External"/><Relationship Id="rId657" Type="http://schemas.openxmlformats.org/officeDocument/2006/relationships/hyperlink" Target="https://legislation.nimonikapp.com/legislations/190904/legislation_texts" TargetMode="External"/><Relationship Id="rId656" Type="http://schemas.openxmlformats.org/officeDocument/2006/relationships/hyperlink" Target="https://www.aer.ca/regulating-development/rules-and-directives/bulletins/bulletin-2018-37" TargetMode="External"/><Relationship Id="rId655" Type="http://schemas.openxmlformats.org/officeDocument/2006/relationships/hyperlink" Target="https://www.tssa.org/en/fuels/resources/Documents/Oil-and-Gas-Pipelines-CAD-Amendment_FIX.pdf" TargetMode="External"/><Relationship Id="rId654" Type="http://schemas.openxmlformats.org/officeDocument/2006/relationships/hyperlink" Target="https://legislation.nimonikapp.com/legislations/190895/legislation_texts" TargetMode="External"/><Relationship Id="rId659" Type="http://schemas.openxmlformats.org/officeDocument/2006/relationships/hyperlink" Target="https://legislation.nimonikapp.com/legislations/190905/legislation_texts" TargetMode="External"/><Relationship Id="rId658" Type="http://schemas.openxmlformats.org/officeDocument/2006/relationships/hyperlink" Target="https://static.aer.ca/prd/documents/manuals/Manual015.pdf" TargetMode="External"/><Relationship Id="rId1480" Type="http://schemas.openxmlformats.org/officeDocument/2006/relationships/hyperlink" Target="https://canlii.ca/t/7vg1" TargetMode="External"/><Relationship Id="rId1481" Type="http://schemas.openxmlformats.org/officeDocument/2006/relationships/hyperlink" Target="https://laws-lois.justice.gc.ca/eng/acts/E-8/FullText.html" TargetMode="External"/><Relationship Id="rId1482" Type="http://schemas.openxmlformats.org/officeDocument/2006/relationships/hyperlink" Target="https://legislation.nimonikapp.com/legislations/466369/legislation_texts" TargetMode="External"/><Relationship Id="rId1483" Type="http://schemas.openxmlformats.org/officeDocument/2006/relationships/hyperlink" Target="https://canlii.ca/t/ckkc" TargetMode="External"/><Relationship Id="rId653" Type="http://schemas.openxmlformats.org/officeDocument/2006/relationships/hyperlink" Target="https://nimonikapp.com/revising_document_not_available.html" TargetMode="External"/><Relationship Id="rId1000" Type="http://schemas.openxmlformats.org/officeDocument/2006/relationships/hyperlink" Target="https://legislation.nimonikapp.com/legislations/235228/legislation_texts" TargetMode="External"/><Relationship Id="rId1484" Type="http://schemas.openxmlformats.org/officeDocument/2006/relationships/hyperlink" Target="https://laws-lois.justice.gc.ca/fra/lois/e-8/TexteComplet.html" TargetMode="External"/><Relationship Id="rId652" Type="http://schemas.openxmlformats.org/officeDocument/2006/relationships/hyperlink" Target="https://nimonikapp.com/revising_document_not_available.html" TargetMode="External"/><Relationship Id="rId1001" Type="http://schemas.openxmlformats.org/officeDocument/2006/relationships/hyperlink" Target="http://canlii.ca/t/9pk9" TargetMode="External"/><Relationship Id="rId1485" Type="http://schemas.openxmlformats.org/officeDocument/2006/relationships/hyperlink" Target="https://legislation.nimonikapp.com/legislations/466396/legislation_texts" TargetMode="External"/><Relationship Id="rId651" Type="http://schemas.openxmlformats.org/officeDocument/2006/relationships/hyperlink" Target="http://canlii.ca/t/824c" TargetMode="External"/><Relationship Id="rId1002" Type="http://schemas.openxmlformats.org/officeDocument/2006/relationships/hyperlink" Target="https://publications.saskatchewan.ca/api/v1/products/103942/formats/115577/download" TargetMode="External"/><Relationship Id="rId1486" Type="http://schemas.openxmlformats.org/officeDocument/2006/relationships/hyperlink" Target="https://canlii.ca/t/7vk2" TargetMode="External"/><Relationship Id="rId650" Type="http://schemas.openxmlformats.org/officeDocument/2006/relationships/hyperlink" Target="https://legislation.nimonikapp.com/legislations/190307/legislation_texts" TargetMode="External"/><Relationship Id="rId1003" Type="http://schemas.openxmlformats.org/officeDocument/2006/relationships/hyperlink" Target="https://legislation.nimonikapp.com/legislations/236033/legislation_texts" TargetMode="External"/><Relationship Id="rId1487" Type="http://schemas.openxmlformats.org/officeDocument/2006/relationships/hyperlink" Target="https://laws-lois.justice.gc.ca/eng/acts/P-12/FullText.html" TargetMode="External"/><Relationship Id="rId1037" Type="http://schemas.openxmlformats.org/officeDocument/2006/relationships/hyperlink" Target="https://legislation.nimonikapp.com/legislations/241461/legislation_texts" TargetMode="External"/><Relationship Id="rId1038" Type="http://schemas.openxmlformats.org/officeDocument/2006/relationships/hyperlink" Target="http://canlii.ca/t/dblr" TargetMode="External"/><Relationship Id="rId1039" Type="http://schemas.openxmlformats.org/officeDocument/2006/relationships/hyperlink" Target="https://legislation.nimonikapp.com/legislations/238129/legislation_texts" TargetMode="External"/><Relationship Id="rId206" Type="http://schemas.openxmlformats.org/officeDocument/2006/relationships/hyperlink" Target="https://www.cer-rec.gc.ca/bts/ctrg/gnnb/nshrppln/dtprtcl-fra.html" TargetMode="External"/><Relationship Id="rId205" Type="http://schemas.openxmlformats.org/officeDocument/2006/relationships/hyperlink" Target="https://www.cer-rec.gc.ca/bts/ctrg/gnnb/nshrppln/dtprtcl-eng.html" TargetMode="External"/><Relationship Id="rId689" Type="http://schemas.openxmlformats.org/officeDocument/2006/relationships/hyperlink" Target="http://canlii.ca/t/966d" TargetMode="External"/><Relationship Id="rId204" Type="http://schemas.openxmlformats.org/officeDocument/2006/relationships/hyperlink" Target="https://legislation.nimonikapp.com/legislations/3757/legislation_texts" TargetMode="External"/><Relationship Id="rId688" Type="http://schemas.openxmlformats.org/officeDocument/2006/relationships/hyperlink" Target="https://legislation.nimonikapp.com/legislations/194943/legislation_texts" TargetMode="External"/><Relationship Id="rId203" Type="http://schemas.openxmlformats.org/officeDocument/2006/relationships/hyperlink" Target="https://www.canlii.org/fr/ca/legis/lois/lrc-1985-c-n-7/derniere/lrc-1985-c-n-7.html" TargetMode="External"/><Relationship Id="rId687" Type="http://schemas.openxmlformats.org/officeDocument/2006/relationships/hyperlink" Target="http://www.qp.alberta.ca/documents/gazette/2019/pdf/01_Jan15_Part2.pdf" TargetMode="External"/><Relationship Id="rId209" Type="http://schemas.openxmlformats.org/officeDocument/2006/relationships/hyperlink" Target="https://legislation.nimonikapp.com/legislations/172759/legislation_texts" TargetMode="External"/><Relationship Id="rId208" Type="http://schemas.openxmlformats.org/officeDocument/2006/relationships/hyperlink" Target="https://canlii.ca/t/80wg" TargetMode="External"/><Relationship Id="rId207" Type="http://schemas.openxmlformats.org/officeDocument/2006/relationships/hyperlink" Target="https://legislation.nimonikapp.com/legislations/3758/legislation_texts" TargetMode="External"/><Relationship Id="rId682" Type="http://schemas.openxmlformats.org/officeDocument/2006/relationships/hyperlink" Target="https://legislation.nimonikapp.com/legislations/194717/legislation_texts" TargetMode="External"/><Relationship Id="rId681" Type="http://schemas.openxmlformats.org/officeDocument/2006/relationships/hyperlink" Target="https://static.aer.ca/prd/documents/directives/Directive055_addendum.pdf" TargetMode="External"/><Relationship Id="rId1030" Type="http://schemas.openxmlformats.org/officeDocument/2006/relationships/hyperlink" Target="http://canlii.ca/t/7zt3" TargetMode="External"/><Relationship Id="rId680" Type="http://schemas.openxmlformats.org/officeDocument/2006/relationships/hyperlink" Target="https://legislation.nimonikapp.com/legislations/194716/legislation_texts" TargetMode="External"/><Relationship Id="rId1031" Type="http://schemas.openxmlformats.org/officeDocument/2006/relationships/hyperlink" Target="https://laws-lois.justice.gc.ca/eng/regulations/SOR-88-230/FullText.html" TargetMode="External"/><Relationship Id="rId1032" Type="http://schemas.openxmlformats.org/officeDocument/2006/relationships/hyperlink" Target="https://legislation.nimonikapp.com/legislations/439718/legislation_texts" TargetMode="External"/><Relationship Id="rId202" Type="http://schemas.openxmlformats.org/officeDocument/2006/relationships/hyperlink" Target="https://legislation.nimonikapp.com/legislations/172721/legislation_texts" TargetMode="External"/><Relationship Id="rId686" Type="http://schemas.openxmlformats.org/officeDocument/2006/relationships/hyperlink" Target="https://legislation.nimonikapp.com/legislations/194941/legislation_texts" TargetMode="External"/><Relationship Id="rId1033" Type="http://schemas.openxmlformats.org/officeDocument/2006/relationships/hyperlink" Target="https://www.canlii.org/fr/ca/legis/regl/dors-88-230/derniere/dors-88-230.html" TargetMode="External"/><Relationship Id="rId201" Type="http://schemas.openxmlformats.org/officeDocument/2006/relationships/hyperlink" Target="https://canlii.ca/t/7vjn" TargetMode="External"/><Relationship Id="rId685" Type="http://schemas.openxmlformats.org/officeDocument/2006/relationships/hyperlink" Target="https://static.aer.ca/prd/2020-07/id2003-01_0.pdf" TargetMode="External"/><Relationship Id="rId1034" Type="http://schemas.openxmlformats.org/officeDocument/2006/relationships/hyperlink" Target="https://legislation.nimonikapp.com/legislations/238128/legislation_texts" TargetMode="External"/><Relationship Id="rId200" Type="http://schemas.openxmlformats.org/officeDocument/2006/relationships/hyperlink" Target="https://legislation.nimonikapp.com/legislations/3756/legislation_texts" TargetMode="External"/><Relationship Id="rId684" Type="http://schemas.openxmlformats.org/officeDocument/2006/relationships/hyperlink" Target="https://legislation.nimonikapp.com/legislations/194718/legislation_texts" TargetMode="External"/><Relationship Id="rId1035" Type="http://schemas.openxmlformats.org/officeDocument/2006/relationships/hyperlink" Target="http://canlii.ca/t/8mhf" TargetMode="External"/><Relationship Id="rId683" Type="http://schemas.openxmlformats.org/officeDocument/2006/relationships/hyperlink" Target="https://static.aer.ca/prd/documents/directives/Directive065.pdf" TargetMode="External"/><Relationship Id="rId1036" Type="http://schemas.openxmlformats.org/officeDocument/2006/relationships/hyperlink" Target="https://laws-lois.justice.gc.ca/eng/regulations/SOR-88-216/page-1.html" TargetMode="External"/><Relationship Id="rId1026" Type="http://schemas.openxmlformats.org/officeDocument/2006/relationships/hyperlink" Target="https://laws-lois.justice.gc.ca/eng/regulations/sor-92-26/FullText.html" TargetMode="External"/><Relationship Id="rId1027" Type="http://schemas.openxmlformats.org/officeDocument/2006/relationships/hyperlink" Target="https://legislation.nimonikapp.com/legislations/439717/legislation_texts" TargetMode="External"/><Relationship Id="rId1028" Type="http://schemas.openxmlformats.org/officeDocument/2006/relationships/hyperlink" Target="https://www.canlii.org/fr/ca/legis/regl/dors-92-26/derniere/dors-92-26.html" TargetMode="External"/><Relationship Id="rId1029" Type="http://schemas.openxmlformats.org/officeDocument/2006/relationships/hyperlink" Target="https://legislation.nimonikapp.com/legislations/238127/legislation_texts" TargetMode="External"/><Relationship Id="rId679" Type="http://schemas.openxmlformats.org/officeDocument/2006/relationships/hyperlink" Target="http://www.qp.alberta.ca/documents/gazette/2018/pdf/24_Dec31_Part2.pdf" TargetMode="External"/><Relationship Id="rId678" Type="http://schemas.openxmlformats.org/officeDocument/2006/relationships/hyperlink" Target="https://legislation.nimonikapp.com/legislations/193693/legislation_texts" TargetMode="External"/><Relationship Id="rId677" Type="http://schemas.openxmlformats.org/officeDocument/2006/relationships/hyperlink" Target="http://www.qp.alberta.ca/documents/gazette/2018/pdf/24_Dec31_Part2.pdf" TargetMode="External"/><Relationship Id="rId676" Type="http://schemas.openxmlformats.org/officeDocument/2006/relationships/hyperlink" Target="https://legislation.nimonikapp.com/legislations/193692/legislation_texts" TargetMode="External"/><Relationship Id="rId671" Type="http://schemas.openxmlformats.org/officeDocument/2006/relationships/hyperlink" Target="https://static.aer.ca/prd/documents/ids/id2000-03.pdf" TargetMode="External"/><Relationship Id="rId670" Type="http://schemas.openxmlformats.org/officeDocument/2006/relationships/hyperlink" Target="https://legislation.nimonikapp.com/legislations/191369/legislation_texts" TargetMode="External"/><Relationship Id="rId1020" Type="http://schemas.openxmlformats.org/officeDocument/2006/relationships/hyperlink" Target="http://canlii.ca/t/7zsf" TargetMode="External"/><Relationship Id="rId1021" Type="http://schemas.openxmlformats.org/officeDocument/2006/relationships/hyperlink" Target="https://laws-lois.justice.gc.ca/eng/regulations/SOR-87-641/FullText.html" TargetMode="External"/><Relationship Id="rId675" Type="http://schemas.openxmlformats.org/officeDocument/2006/relationships/hyperlink" Target="http://www.qp.alberta.ca/documents/gazette/2018/pdf/24_Dec31_Part2.pdf" TargetMode="External"/><Relationship Id="rId1022" Type="http://schemas.openxmlformats.org/officeDocument/2006/relationships/hyperlink" Target="https://legislation.nimonikapp.com/legislations/439716/legislation_texts" TargetMode="External"/><Relationship Id="rId674" Type="http://schemas.openxmlformats.org/officeDocument/2006/relationships/hyperlink" Target="https://legislation.nimonikapp.com/legislations/193685/legislation_texts" TargetMode="External"/><Relationship Id="rId1023" Type="http://schemas.openxmlformats.org/officeDocument/2006/relationships/hyperlink" Target="https://www.canlii.org/fr/ca/legis/regl/dors-87-641/derniere/dors-87-641.html" TargetMode="External"/><Relationship Id="rId673" Type="http://schemas.openxmlformats.org/officeDocument/2006/relationships/hyperlink" Target="https://www.oeb.ca/oeb/_Documents/Regulatory/Enviro_Guidelines_HydrocarbonPipelines_2016.pdf" TargetMode="External"/><Relationship Id="rId1024" Type="http://schemas.openxmlformats.org/officeDocument/2006/relationships/hyperlink" Target="https://legislation.nimonikapp.com/legislations/238126/legislation_texts" TargetMode="External"/><Relationship Id="rId672" Type="http://schemas.openxmlformats.org/officeDocument/2006/relationships/hyperlink" Target="https://legislation.nimonikapp.com/legislations/191384/legislation_texts" TargetMode="External"/><Relationship Id="rId1025" Type="http://schemas.openxmlformats.org/officeDocument/2006/relationships/hyperlink" Target="http://canlii.ca/t/804c" TargetMode="External"/><Relationship Id="rId190" Type="http://schemas.openxmlformats.org/officeDocument/2006/relationships/hyperlink" Target="https://legislation.nimonikapp.com/legislations/3746/legislation_texts" TargetMode="External"/><Relationship Id="rId194" Type="http://schemas.openxmlformats.org/officeDocument/2006/relationships/hyperlink" Target="https://www.ic.gc.ca/eic/site/mc-mc.nsf/eng/lm00607.html" TargetMode="External"/><Relationship Id="rId193" Type="http://schemas.openxmlformats.org/officeDocument/2006/relationships/hyperlink" Target="https://www.ic.gc.ca/eic/site/mc-mc.nsf/fra/lm00035.html" TargetMode="External"/><Relationship Id="rId192" Type="http://schemas.openxmlformats.org/officeDocument/2006/relationships/hyperlink" Target="https://www.ic.gc.ca/eic/site/mc-mc.nsf/eng/lm00035.html" TargetMode="External"/><Relationship Id="rId191" Type="http://schemas.openxmlformats.org/officeDocument/2006/relationships/hyperlink" Target="https://canlii.ca/t/8fcb" TargetMode="External"/><Relationship Id="rId187" Type="http://schemas.openxmlformats.org/officeDocument/2006/relationships/hyperlink" Target="https://www.canlii.org/en/ab/laws/stat/sa-2012-c-r-17.3/latest/sa-2012-c-r-17.3.html" TargetMode="External"/><Relationship Id="rId186" Type="http://schemas.openxmlformats.org/officeDocument/2006/relationships/hyperlink" Target="https://legislation.nimonikapp.com/legislations/3711/legislation_texts" TargetMode="External"/><Relationship Id="rId185" Type="http://schemas.openxmlformats.org/officeDocument/2006/relationships/hyperlink" Target="https://canlii.ca/t/835r" TargetMode="External"/><Relationship Id="rId184" Type="http://schemas.openxmlformats.org/officeDocument/2006/relationships/hyperlink" Target="https://legislation.nimonikapp.com/legislations/3710/legislation_texts" TargetMode="External"/><Relationship Id="rId189" Type="http://schemas.openxmlformats.org/officeDocument/2006/relationships/hyperlink" Target="https://canlii.ca/t/856g" TargetMode="External"/><Relationship Id="rId188" Type="http://schemas.openxmlformats.org/officeDocument/2006/relationships/hyperlink" Target="https://legislation.nimonikapp.com/legislations/3721/legislation_texts" TargetMode="External"/><Relationship Id="rId183" Type="http://schemas.openxmlformats.org/officeDocument/2006/relationships/hyperlink" Target="https://canlii.ca/t/8204" TargetMode="External"/><Relationship Id="rId182" Type="http://schemas.openxmlformats.org/officeDocument/2006/relationships/hyperlink" Target="https://legislation.nimonikapp.com/legislations/3709/legislation_texts" TargetMode="External"/><Relationship Id="rId181" Type="http://schemas.openxmlformats.org/officeDocument/2006/relationships/hyperlink" Target="http://www.qp.alberta.ca/documents/codes/release.pdf" TargetMode="External"/><Relationship Id="rId180" Type="http://schemas.openxmlformats.org/officeDocument/2006/relationships/hyperlink" Target="https://legislation.nimonikapp.com/legislations/3708/legislation_texts" TargetMode="External"/><Relationship Id="rId176" Type="http://schemas.openxmlformats.org/officeDocument/2006/relationships/hyperlink" Target="https://legislation.nimonikapp.com/legislations/3706/legislation_texts" TargetMode="External"/><Relationship Id="rId175" Type="http://schemas.openxmlformats.org/officeDocument/2006/relationships/hyperlink" Target="https://canlii.ca/t/81zm" TargetMode="External"/><Relationship Id="rId174" Type="http://schemas.openxmlformats.org/officeDocument/2006/relationships/hyperlink" Target="https://legislation.nimonikapp.com/legislations/3705/legislation_texts" TargetMode="External"/><Relationship Id="rId173" Type="http://schemas.openxmlformats.org/officeDocument/2006/relationships/hyperlink" Target="https://canlii.ca/t/81sn" TargetMode="External"/><Relationship Id="rId179" Type="http://schemas.openxmlformats.org/officeDocument/2006/relationships/hyperlink" Target="https://static.aer.ca/prd/documents/directives/Directive038.pdf" TargetMode="External"/><Relationship Id="rId178" Type="http://schemas.openxmlformats.org/officeDocument/2006/relationships/hyperlink" Target="https://legislation.nimonikapp.com/legislations/3707/legislation_texts" TargetMode="External"/><Relationship Id="rId177" Type="http://schemas.openxmlformats.org/officeDocument/2006/relationships/hyperlink" Target="https://canlii.ca/t/82pw" TargetMode="External"/><Relationship Id="rId1910" Type="http://schemas.openxmlformats.org/officeDocument/2006/relationships/hyperlink" Target="https://canlii.ca/t/cpsf" TargetMode="External"/><Relationship Id="rId1911" Type="http://schemas.openxmlformats.org/officeDocument/2006/relationships/hyperlink" Target="https://laws.justice.gc.ca/fra/reglements/DORS-97-540/TexteComplet.html" TargetMode="External"/><Relationship Id="rId1912" Type="http://schemas.openxmlformats.org/officeDocument/2006/relationships/hyperlink" Target="https://canlii.ca/t/90c3" TargetMode="External"/><Relationship Id="rId1913" Type="http://schemas.openxmlformats.org/officeDocument/2006/relationships/hyperlink" Target="https://laws.justice.gc.ca/eng/regulations/SOR-2017-103/FullText.html" TargetMode="External"/><Relationship Id="rId1914" Type="http://schemas.openxmlformats.org/officeDocument/2006/relationships/hyperlink" Target="https://legislation.nimonikapp.com/legislations/545869/legislation_texts" TargetMode="External"/><Relationship Id="rId1915" Type="http://schemas.openxmlformats.org/officeDocument/2006/relationships/hyperlink" Target="https://canlii.ca/t/dpgf" TargetMode="External"/><Relationship Id="rId1916" Type="http://schemas.openxmlformats.org/officeDocument/2006/relationships/hyperlink" Target="https://laws.justice.gc.ca/fra/reglements/DORS-2017-103/TexteComplet.html" TargetMode="External"/><Relationship Id="rId1917" Type="http://schemas.openxmlformats.org/officeDocument/2006/relationships/hyperlink" Target="https://legislation.nimonikapp.com/legislations/545874/legislation_texts" TargetMode="External"/><Relationship Id="rId1918" Type="http://schemas.openxmlformats.org/officeDocument/2006/relationships/hyperlink" Target="https://canlii.ca/t/7zhn" TargetMode="External"/><Relationship Id="rId1919" Type="http://schemas.openxmlformats.org/officeDocument/2006/relationships/hyperlink" Target="https://laws.justice.gc.ca/eng/regulations/SOR-82-503/FullText.html" TargetMode="External"/><Relationship Id="rId1900" Type="http://schemas.openxmlformats.org/officeDocument/2006/relationships/hyperlink" Target="https://legislation.nimonikapp.com/legislations/545864/legislation_texts" TargetMode="External"/><Relationship Id="rId1901" Type="http://schemas.openxmlformats.org/officeDocument/2006/relationships/hyperlink" Target="https://canlii.ca/t/80qf" TargetMode="External"/><Relationship Id="rId1902" Type="http://schemas.openxmlformats.org/officeDocument/2006/relationships/hyperlink" Target="https://laws.justice.gc.ca/eng/regulations/SOR-98-188/FullText.html" TargetMode="External"/><Relationship Id="rId1903" Type="http://schemas.openxmlformats.org/officeDocument/2006/relationships/hyperlink" Target="https://legislation.nimonikapp.com/legislations/545865/legislation_texts" TargetMode="External"/><Relationship Id="rId1904" Type="http://schemas.openxmlformats.org/officeDocument/2006/relationships/hyperlink" Target="https://canlii.ca/t/cptr" TargetMode="External"/><Relationship Id="rId1905" Type="http://schemas.openxmlformats.org/officeDocument/2006/relationships/hyperlink" Target="https://laws.justice.gc.ca/fra/reglements/DORS-98-188/TexteComplet.html" TargetMode="External"/><Relationship Id="rId1906" Type="http://schemas.openxmlformats.org/officeDocument/2006/relationships/hyperlink" Target="https://legislation.nimonikapp.com/legislations/545866/legislation_texts" TargetMode="External"/><Relationship Id="rId1907" Type="http://schemas.openxmlformats.org/officeDocument/2006/relationships/hyperlink" Target="https://canlii.ca/t/80p3" TargetMode="External"/><Relationship Id="rId1908" Type="http://schemas.openxmlformats.org/officeDocument/2006/relationships/hyperlink" Target="https://laws.justice.gc.ca/eng/regulations/SOR-97-540/FullText.html" TargetMode="External"/><Relationship Id="rId1909" Type="http://schemas.openxmlformats.org/officeDocument/2006/relationships/hyperlink" Target="https://legislation.nimonikapp.com/legislations/545867/legislation_texts" TargetMode="External"/><Relationship Id="rId198" Type="http://schemas.openxmlformats.org/officeDocument/2006/relationships/hyperlink" Target="http://www.competitionbureau.gc.ca/eic/site/mc-mc.nsf/eng/lm04242.html" TargetMode="External"/><Relationship Id="rId197" Type="http://schemas.openxmlformats.org/officeDocument/2006/relationships/hyperlink" Target="http://spectrumdirect.ic.gc.ca/eic/site/mc-mc.nsf/fra/lm00432.html" TargetMode="External"/><Relationship Id="rId196" Type="http://schemas.openxmlformats.org/officeDocument/2006/relationships/hyperlink" Target="http://spectrumdirect.ic.gc.ca/eic/site/mc-mc.nsf/eng/lm00432.html" TargetMode="External"/><Relationship Id="rId195" Type="http://schemas.openxmlformats.org/officeDocument/2006/relationships/hyperlink" Target="https://www.ic.gc.ca/eic/site/mc-mc.nsf/fra/lm00607.html" TargetMode="External"/><Relationship Id="rId199" Type="http://schemas.openxmlformats.org/officeDocument/2006/relationships/hyperlink" Target="http://www.competitionbureau.gc.ca/eic/site/mc-mc.nsf/fra/lm04242.html" TargetMode="External"/><Relationship Id="rId150" Type="http://schemas.openxmlformats.org/officeDocument/2006/relationships/hyperlink" Target="https://www.canlii.org/en/on/laws/regu/o-reg-90-99/latest/o-reg-90-99.html" TargetMode="External"/><Relationship Id="rId149" Type="http://schemas.openxmlformats.org/officeDocument/2006/relationships/hyperlink" Target="https://legislation.nimonikapp.com/legislations/3512/legislation_texts" TargetMode="External"/><Relationship Id="rId148" Type="http://schemas.openxmlformats.org/officeDocument/2006/relationships/hyperlink" Target="https://canlii.ca/t/8bdk" TargetMode="External"/><Relationship Id="rId1090" Type="http://schemas.openxmlformats.org/officeDocument/2006/relationships/hyperlink" Target="http://www.qp.alberta.ca/570.cfm" TargetMode="External"/><Relationship Id="rId1091" Type="http://schemas.openxmlformats.org/officeDocument/2006/relationships/hyperlink" Target="https://legislation.nimonikapp.com/legislations/238340/legislation_texts" TargetMode="External"/><Relationship Id="rId1092" Type="http://schemas.openxmlformats.org/officeDocument/2006/relationships/hyperlink" Target="http://canlii.ca/t/82w5" TargetMode="External"/><Relationship Id="rId1093" Type="http://schemas.openxmlformats.org/officeDocument/2006/relationships/hyperlink" Target="http://www.qp.alberta.ca/documents/Regs/2007_150.pdf" TargetMode="External"/><Relationship Id="rId1094" Type="http://schemas.openxmlformats.org/officeDocument/2006/relationships/hyperlink" Target="http://www.qp.alberta.ca/570.cfm" TargetMode="External"/><Relationship Id="rId143" Type="http://schemas.openxmlformats.org/officeDocument/2006/relationships/hyperlink" Target="https://canlii.ca/t/8p4l" TargetMode="External"/><Relationship Id="rId1095" Type="http://schemas.openxmlformats.org/officeDocument/2006/relationships/hyperlink" Target="https://legislation.nimonikapp.com/legislations/238341/legislation_texts" TargetMode="External"/><Relationship Id="rId142" Type="http://schemas.openxmlformats.org/officeDocument/2006/relationships/hyperlink" Target="https://legislation.nimonikapp.com/legislations/2282/legislation_texts" TargetMode="External"/><Relationship Id="rId1096" Type="http://schemas.openxmlformats.org/officeDocument/2006/relationships/hyperlink" Target="http://canlii.ca/t/83xq" TargetMode="External"/><Relationship Id="rId141" Type="http://schemas.openxmlformats.org/officeDocument/2006/relationships/hyperlink" Target="https://www.canlii.org/en/bc/laws/regu/bc-reg-278-2010/latest/" TargetMode="External"/><Relationship Id="rId1097" Type="http://schemas.openxmlformats.org/officeDocument/2006/relationships/hyperlink" Target="http://www.qp.alberta.ca/570.cfm?frm_isbn=9780779772421&amp;search_by=link" TargetMode="External"/><Relationship Id="rId140" Type="http://schemas.openxmlformats.org/officeDocument/2006/relationships/hyperlink" Target="https://www.canlii.org/en/bc/laws/regu/bc-reg-280-2010/latest/" TargetMode="External"/><Relationship Id="rId1098" Type="http://schemas.openxmlformats.org/officeDocument/2006/relationships/hyperlink" Target="http://www.qp.alberta.ca/documents/Regs/2008_224.pdf" TargetMode="External"/><Relationship Id="rId147" Type="http://schemas.openxmlformats.org/officeDocument/2006/relationships/hyperlink" Target="https://legislation.nimonikapp.com/legislations/3486/legislation_texts" TargetMode="External"/><Relationship Id="rId1099" Type="http://schemas.openxmlformats.org/officeDocument/2006/relationships/hyperlink" Target="https://legislation.nimonikapp.com/legislations/238342/legislation_texts" TargetMode="External"/><Relationship Id="rId146" Type="http://schemas.openxmlformats.org/officeDocument/2006/relationships/hyperlink" Target="https://canlii.ca/t/8jlt" TargetMode="External"/><Relationship Id="rId145" Type="http://schemas.openxmlformats.org/officeDocument/2006/relationships/hyperlink" Target="https://legislation.nimonikapp.com/legislations/2497/legislation_texts" TargetMode="External"/><Relationship Id="rId144" Type="http://schemas.openxmlformats.org/officeDocument/2006/relationships/hyperlink" Target="https://www.canlii.org/en/sk/laws/regu/sask-reg-8-69/latest/sask-reg-8-69.html" TargetMode="External"/><Relationship Id="rId139" Type="http://schemas.openxmlformats.org/officeDocument/2006/relationships/hyperlink" Target="https://legislation.nimonikapp.com/legislations/2280/legislation_texts" TargetMode="External"/><Relationship Id="rId138" Type="http://schemas.openxmlformats.org/officeDocument/2006/relationships/hyperlink" Target="https://www.canlii.org/en/bc/laws/regu/bc-reg-274-2010/latest/" TargetMode="External"/><Relationship Id="rId137" Type="http://schemas.openxmlformats.org/officeDocument/2006/relationships/hyperlink" Target="https://legislation.nimonikapp.com/legislations/2278/legislation_texts" TargetMode="External"/><Relationship Id="rId1080" Type="http://schemas.openxmlformats.org/officeDocument/2006/relationships/hyperlink" Target="http://canlii.ca/t/8ntt" TargetMode="External"/><Relationship Id="rId1081" Type="http://schemas.openxmlformats.org/officeDocument/2006/relationships/hyperlink" Target="http://www.qp.alberta.ca/documents/Regs/2010_198.pdf" TargetMode="External"/><Relationship Id="rId1082" Type="http://schemas.openxmlformats.org/officeDocument/2006/relationships/hyperlink" Target="http://www.qp.alberta.ca/570.cfm" TargetMode="External"/><Relationship Id="rId1083" Type="http://schemas.openxmlformats.org/officeDocument/2006/relationships/hyperlink" Target="https://legislation.nimonikapp.com/legislations/238338/legislation_texts" TargetMode="External"/><Relationship Id="rId132" Type="http://schemas.openxmlformats.org/officeDocument/2006/relationships/hyperlink" Target="https://canlii.ca/t/cmnz" TargetMode="External"/><Relationship Id="rId1084" Type="http://schemas.openxmlformats.org/officeDocument/2006/relationships/hyperlink" Target="http://canlii.ca/t/83xr" TargetMode="External"/><Relationship Id="rId131" Type="http://schemas.openxmlformats.org/officeDocument/2006/relationships/hyperlink" Target="https://legislation.nimonikapp.com/legislations/172327/legislation_texts" TargetMode="External"/><Relationship Id="rId1085" Type="http://schemas.openxmlformats.org/officeDocument/2006/relationships/hyperlink" Target="http://www.qp.alberta.ca/documents/Regs/2008_225.pdf" TargetMode="External"/><Relationship Id="rId130" Type="http://schemas.openxmlformats.org/officeDocument/2006/relationships/hyperlink" Target="https://canlii.ca/t/7xkm" TargetMode="External"/><Relationship Id="rId1086" Type="http://schemas.openxmlformats.org/officeDocument/2006/relationships/hyperlink" Target="http://www.qp.alberta.ca/570.cfm" TargetMode="External"/><Relationship Id="rId1087" Type="http://schemas.openxmlformats.org/officeDocument/2006/relationships/hyperlink" Target="https://legislation.nimonikapp.com/legislations/238339/legislation_texts" TargetMode="External"/><Relationship Id="rId136" Type="http://schemas.openxmlformats.org/officeDocument/2006/relationships/hyperlink" Target="https://www.canlii.org/en/bc/laws/regu/bc-reg-282-2010/latest/" TargetMode="External"/><Relationship Id="rId1088" Type="http://schemas.openxmlformats.org/officeDocument/2006/relationships/hyperlink" Target="http://canlii.ca/t/8zs3" TargetMode="External"/><Relationship Id="rId135" Type="http://schemas.openxmlformats.org/officeDocument/2006/relationships/hyperlink" Target="https://legislation.nimonikapp.com/legislations/2277/legislation_texts" TargetMode="External"/><Relationship Id="rId1089" Type="http://schemas.openxmlformats.org/officeDocument/2006/relationships/hyperlink" Target="http://www.qp.alberta.ca/documents/Regs/2016_210.pdf" TargetMode="External"/><Relationship Id="rId134" Type="http://schemas.openxmlformats.org/officeDocument/2006/relationships/hyperlink" Target="https://www.canlii.org/en/bc/laws/regu/bc-reg-279-2010/latest/" TargetMode="External"/><Relationship Id="rId133" Type="http://schemas.openxmlformats.org/officeDocument/2006/relationships/hyperlink" Target="https://legislation.nimonikapp.com/legislations/2275/legislation_texts" TargetMode="External"/><Relationship Id="rId172" Type="http://schemas.openxmlformats.org/officeDocument/2006/relationships/hyperlink" Target="https://legislation.nimonikapp.com/legislations/3701/legislation_texts" TargetMode="External"/><Relationship Id="rId171" Type="http://schemas.openxmlformats.org/officeDocument/2006/relationships/hyperlink" Target="http://www.qp.alberta.ca/documents/codes/PIPELINE.PDF" TargetMode="External"/><Relationship Id="rId170" Type="http://schemas.openxmlformats.org/officeDocument/2006/relationships/hyperlink" Target="https://legislation.nimonikapp.com/legislations/3698/legislation_texts" TargetMode="External"/><Relationship Id="rId165" Type="http://schemas.openxmlformats.org/officeDocument/2006/relationships/hyperlink" Target="https://canlii.ca/t/8qhs" TargetMode="External"/><Relationship Id="rId164" Type="http://schemas.openxmlformats.org/officeDocument/2006/relationships/hyperlink" Target="https://legislation.nimonikapp.com/legislations/3571/legislation_texts" TargetMode="External"/><Relationship Id="rId163" Type="http://schemas.openxmlformats.org/officeDocument/2006/relationships/hyperlink" Target="https://canlii.ca/t/v8w" TargetMode="External"/><Relationship Id="rId162" Type="http://schemas.openxmlformats.org/officeDocument/2006/relationships/hyperlink" Target="https://canlii.ca/t/vh8" TargetMode="External"/><Relationship Id="rId169" Type="http://schemas.openxmlformats.org/officeDocument/2006/relationships/hyperlink" Target="http://www.qp.alberta.ca/documents/Codes/diverse.pdf" TargetMode="External"/><Relationship Id="rId168" Type="http://schemas.openxmlformats.org/officeDocument/2006/relationships/hyperlink" Target="https://legislation.nimonikapp.com/legislations/3697/legislation_texts" TargetMode="External"/><Relationship Id="rId167" Type="http://schemas.openxmlformats.org/officeDocument/2006/relationships/hyperlink" Target="https://canlii.ca/t/833x" TargetMode="External"/><Relationship Id="rId166" Type="http://schemas.openxmlformats.org/officeDocument/2006/relationships/hyperlink" Target="https://legislation.nimonikapp.com/legislations/3576/legislation_texts" TargetMode="External"/><Relationship Id="rId161" Type="http://schemas.openxmlformats.org/officeDocument/2006/relationships/hyperlink" Target="https://legislation.nimonikapp.com/legislations/3562/legislation_texts" TargetMode="External"/><Relationship Id="rId160" Type="http://schemas.openxmlformats.org/officeDocument/2006/relationships/hyperlink" Target="https://www.canlii.org/en/mb/laws/regu/man-reg-166-2007/latest/man-reg-166-2007.html" TargetMode="External"/><Relationship Id="rId159" Type="http://schemas.openxmlformats.org/officeDocument/2006/relationships/hyperlink" Target="https://legislation.nimonikapp.com/legislations/3522/legislation_texts" TargetMode="External"/><Relationship Id="rId154" Type="http://schemas.openxmlformats.org/officeDocument/2006/relationships/hyperlink" Target="https://www.canlii.org/en/mb/laws/regu/man-reg-147-2009/latest/man-reg-147-2009.html" TargetMode="External"/><Relationship Id="rId153" Type="http://schemas.openxmlformats.org/officeDocument/2006/relationships/hyperlink" Target="https://legislation.nimonikapp.com/legislations/3519/legislation_texts" TargetMode="External"/><Relationship Id="rId152" Type="http://schemas.openxmlformats.org/officeDocument/2006/relationships/hyperlink" Target="https://www.canlii.org/en/mb/laws/regu/man-reg-178-2008/latest/man-reg-178-2008.html" TargetMode="External"/><Relationship Id="rId151" Type="http://schemas.openxmlformats.org/officeDocument/2006/relationships/hyperlink" Target="https://legislation.nimonikapp.com/legislations/3518/legislation_texts" TargetMode="External"/><Relationship Id="rId158" Type="http://schemas.openxmlformats.org/officeDocument/2006/relationships/hyperlink" Target="https://www.canlii.org/en/mb/laws/regu/man-reg-91-2010/latest/man-reg-91-2010.html" TargetMode="External"/><Relationship Id="rId157" Type="http://schemas.openxmlformats.org/officeDocument/2006/relationships/hyperlink" Target="https://legislation.nimonikapp.com/legislations/3521/legislation_texts" TargetMode="External"/><Relationship Id="rId156" Type="http://schemas.openxmlformats.org/officeDocument/2006/relationships/hyperlink" Target="https://www.canlii.org/en/mb/laws/regu/man-reg-165-2007/latest/man-reg-165-2007.html" TargetMode="External"/><Relationship Id="rId155" Type="http://schemas.openxmlformats.org/officeDocument/2006/relationships/hyperlink" Target="https://legislation.nimonikapp.com/legislations/3520/legislation_texts" TargetMode="External"/><Relationship Id="rId1510" Type="http://schemas.openxmlformats.org/officeDocument/2006/relationships/hyperlink" Target="https://laws-lois.justice.gc.ca/fra/reglements/C.R.C.%2C_ch._1521/TexteComplet.html" TargetMode="External"/><Relationship Id="rId1511" Type="http://schemas.openxmlformats.org/officeDocument/2006/relationships/hyperlink" Target="https://legislation.nimonikapp.com/legislations/469469/legislation_texts" TargetMode="External"/><Relationship Id="rId1512" Type="http://schemas.openxmlformats.org/officeDocument/2006/relationships/hyperlink" Target="https://canlii.ca/t/7w8h" TargetMode="External"/><Relationship Id="rId1513" Type="http://schemas.openxmlformats.org/officeDocument/2006/relationships/hyperlink" Target="https://laws-lois.justice.gc.ca/eng/regulations/C.R.C.,_c._1520/FullText.html" TargetMode="External"/><Relationship Id="rId1514" Type="http://schemas.openxmlformats.org/officeDocument/2006/relationships/hyperlink" Target="https://legislation.nimonikapp.com/legislations/469470/legislation_texts" TargetMode="External"/><Relationship Id="rId1515" Type="http://schemas.openxmlformats.org/officeDocument/2006/relationships/hyperlink" Target="https://canlii.ca/t/clct" TargetMode="External"/><Relationship Id="rId1516" Type="http://schemas.openxmlformats.org/officeDocument/2006/relationships/hyperlink" Target="https://laws-lois.justice.gc.ca/fra/reglements/C.R.C.%2C_ch._1520/TexteComplet.html" TargetMode="External"/><Relationship Id="rId1517" Type="http://schemas.openxmlformats.org/officeDocument/2006/relationships/hyperlink" Target="https://legislation.nimonikapp.com/legislations/469471/legislation_texts" TargetMode="External"/><Relationship Id="rId1518" Type="http://schemas.openxmlformats.org/officeDocument/2006/relationships/hyperlink" Target="https://canlii.ca/t/7wf4" TargetMode="External"/><Relationship Id="rId1519" Type="http://schemas.openxmlformats.org/officeDocument/2006/relationships/hyperlink" Target="https://laws-lois.justice.gc.ca/eng/regulations/C.R.C.,_c._335/FullText.html" TargetMode="External"/><Relationship Id="rId1500" Type="http://schemas.openxmlformats.org/officeDocument/2006/relationships/hyperlink" Target="https://canlii.ca/t/8z22" TargetMode="External"/><Relationship Id="rId1501" Type="http://schemas.openxmlformats.org/officeDocument/2006/relationships/hyperlink" Target="https://laws-lois.justice.gc.ca/eng/regulations/SOR-2016-24/FullText.html" TargetMode="External"/><Relationship Id="rId1502" Type="http://schemas.openxmlformats.org/officeDocument/2006/relationships/hyperlink" Target="https://legislation.nimonikapp.com/legislations/469190/legislation_texts" TargetMode="External"/><Relationship Id="rId1503" Type="http://schemas.openxmlformats.org/officeDocument/2006/relationships/hyperlink" Target="https://canlii.ca/t/dn5d" TargetMode="External"/><Relationship Id="rId1504" Type="http://schemas.openxmlformats.org/officeDocument/2006/relationships/hyperlink" Target="https://laws-lois.justice.gc.ca/fra/reglements/DORS-2016-24/TexteComplet.html" TargetMode="External"/><Relationship Id="rId1505" Type="http://schemas.openxmlformats.org/officeDocument/2006/relationships/hyperlink" Target="https://legislation.nimonikapp.com/legislations/469467/legislation_texts" TargetMode="External"/><Relationship Id="rId1506" Type="http://schemas.openxmlformats.org/officeDocument/2006/relationships/hyperlink" Target="https://canlii.ca/t/7w8j" TargetMode="External"/><Relationship Id="rId1507" Type="http://schemas.openxmlformats.org/officeDocument/2006/relationships/hyperlink" Target="https://laws-lois.justice.gc.ca/eng/regulations/C.R.C.,_c._1521/FullText.html" TargetMode="External"/><Relationship Id="rId1508" Type="http://schemas.openxmlformats.org/officeDocument/2006/relationships/hyperlink" Target="https://legislation.nimonikapp.com/legislations/469468/legislation_texts" TargetMode="External"/><Relationship Id="rId1509" Type="http://schemas.openxmlformats.org/officeDocument/2006/relationships/hyperlink" Target="https://canlii.ca/t/clcv" TargetMode="External"/><Relationship Id="rId1920" Type="http://schemas.openxmlformats.org/officeDocument/2006/relationships/hyperlink" Target="https://legislation.nimonikapp.com/legislations/545875/legislation_texts" TargetMode="External"/><Relationship Id="rId1921" Type="http://schemas.openxmlformats.org/officeDocument/2006/relationships/hyperlink" Target="https://canlii.ca/t/cnm0" TargetMode="External"/><Relationship Id="rId1922" Type="http://schemas.openxmlformats.org/officeDocument/2006/relationships/hyperlink" Target="https://laws.justice.gc.ca/fra/reglements/DORS-82-503/TexteComplet.html" TargetMode="External"/><Relationship Id="rId1923" Type="http://schemas.openxmlformats.org/officeDocument/2006/relationships/hyperlink" Target="https://legislation.nimonikapp.com/legislations/547240/legislation_texts" TargetMode="External"/><Relationship Id="rId1924" Type="http://schemas.openxmlformats.org/officeDocument/2006/relationships/hyperlink" Target="http://infratech.cc/wp-content/uploads/2015/02/CAPP-BMPFEM.pdf" TargetMode="External"/><Relationship Id="rId1925" Type="http://schemas.openxmlformats.org/officeDocument/2006/relationships/drawing" Target="../drawings/drawing3.xml"/><Relationship Id="rId1576" Type="http://schemas.openxmlformats.org/officeDocument/2006/relationships/hyperlink" Target="https://www.bclaws.gov.bc.ca/civix/document/id/complete/statreg/22021" TargetMode="External"/><Relationship Id="rId1577" Type="http://schemas.openxmlformats.org/officeDocument/2006/relationships/hyperlink" Target="https://www.leg.bc.ca/content/data%20-%20ldp/Pages/42nd3rd/3rd_read/PDF/gov15-3.pdf" TargetMode="External"/><Relationship Id="rId1578" Type="http://schemas.openxmlformats.org/officeDocument/2006/relationships/hyperlink" Target="https://legislation.nimonikapp.com/legislations/507262/legislation_texts" TargetMode="External"/><Relationship Id="rId1579" Type="http://schemas.openxmlformats.org/officeDocument/2006/relationships/hyperlink" Target="https://canadagazetteducanada.gc.ca/rp-pr/p1/2022/2022-06-18/html/reg5-eng.html" TargetMode="External"/><Relationship Id="rId509" Type="http://schemas.openxmlformats.org/officeDocument/2006/relationships/hyperlink" Target="https://static.aer.ca/prd/documents/manuals/Manual002.pdf" TargetMode="External"/><Relationship Id="rId508" Type="http://schemas.openxmlformats.org/officeDocument/2006/relationships/hyperlink" Target="https://legislation.nimonikapp.com/legislations/4664/legislation_texts" TargetMode="External"/><Relationship Id="rId503" Type="http://schemas.openxmlformats.org/officeDocument/2006/relationships/hyperlink" Target="https://open.alberta.ca/dataset/6996d1fa-2536-46df-96ab-31ae61e542a7/resource/70c67648-f292-4176-9fa2-831ad083ca37/download/1988-HazardousWasteStorageGuide.pdf" TargetMode="External"/><Relationship Id="rId987" Type="http://schemas.openxmlformats.org/officeDocument/2006/relationships/hyperlink" Target="https://static.aer.ca/prd/documents/manuals/Manual008.pdf" TargetMode="External"/><Relationship Id="rId502" Type="http://schemas.openxmlformats.org/officeDocument/2006/relationships/hyperlink" Target="https://open.alberta.ca/dataset/21a8abb5-0d6b-4dd3-91de-0c610585192d/resource/4eee3d58-8226-4b98-8781-6d2e442119cf/download/23698431998continuousemissionmonitoringsystem.pdf" TargetMode="External"/><Relationship Id="rId986" Type="http://schemas.openxmlformats.org/officeDocument/2006/relationships/hyperlink" Target="https://legislation.nimonikapp.com/legislations/220751/legislation_texts" TargetMode="External"/><Relationship Id="rId501" Type="http://schemas.openxmlformats.org/officeDocument/2006/relationships/hyperlink" Target="https://legislation.nimonikapp.com/legislations/4659/legislation_texts" TargetMode="External"/><Relationship Id="rId985" Type="http://schemas.openxmlformats.org/officeDocument/2006/relationships/hyperlink" Target="https://www.saskatchewan.ca/government/public-consultations/new-pipelines-admin-regs-and-directive-png034" TargetMode="External"/><Relationship Id="rId500" Type="http://schemas.openxmlformats.org/officeDocument/2006/relationships/hyperlink" Target="http://www.qp.alberta.ca/documents/codes/pits.pdf" TargetMode="External"/><Relationship Id="rId984" Type="http://schemas.openxmlformats.org/officeDocument/2006/relationships/hyperlink" Target="https://legislation.nimonikapp.com/legislations/220175/legislation_texts" TargetMode="External"/><Relationship Id="rId507" Type="http://schemas.openxmlformats.org/officeDocument/2006/relationships/hyperlink" Target="https://static.aer.ca/prd/documents/manuals/Direction_001.pdf" TargetMode="External"/><Relationship Id="rId506" Type="http://schemas.openxmlformats.org/officeDocument/2006/relationships/hyperlink" Target="https://legislation.nimonikapp.com/legislations/4663/legislation_texts" TargetMode="External"/><Relationship Id="rId505" Type="http://schemas.openxmlformats.org/officeDocument/2006/relationships/hyperlink" Target="https://open.alberta.ca/dataset/49aa20de-2fba-46e2-822c-d758029ab726/resource/356a13e6-9fbb-4b01-98ff-0be645f992d5/download/2007-wetlandrestorationcompensation-guide.pdf" TargetMode="External"/><Relationship Id="rId989" Type="http://schemas.openxmlformats.org/officeDocument/2006/relationships/hyperlink" Target="http://www2.publicationsduquebec.gouv.qc.ca/dynamicSearch/telecharge.php?type=1&amp;file=104101.pdf" TargetMode="External"/><Relationship Id="rId504" Type="http://schemas.openxmlformats.org/officeDocument/2006/relationships/hyperlink" Target="https://legislation.nimonikapp.com/legislations/4662/legislation_texts" TargetMode="External"/><Relationship Id="rId988" Type="http://schemas.openxmlformats.org/officeDocument/2006/relationships/hyperlink" Target="https://legislation.nimonikapp.com/legislations/220766/legislation_texts" TargetMode="External"/><Relationship Id="rId1570" Type="http://schemas.openxmlformats.org/officeDocument/2006/relationships/hyperlink" Target="https://legislation.nimonikapp.com/legislations/499889/legislation_texts" TargetMode="External"/><Relationship Id="rId1571" Type="http://schemas.openxmlformats.org/officeDocument/2006/relationships/hyperlink" Target="https://canlii.ca/t/g6vr" TargetMode="External"/><Relationship Id="rId983" Type="http://schemas.openxmlformats.org/officeDocument/2006/relationships/hyperlink" Target="https://www.alberta.ca/alberta-energy-regulator-review.aspx" TargetMode="External"/><Relationship Id="rId1572" Type="http://schemas.openxmlformats.org/officeDocument/2006/relationships/hyperlink" Target="http://www2.publicationsduquebec.gouv.qc.ca/dynamicSearch/telecharge.php?type=5&amp;file=2022C10F.PDF" TargetMode="External"/><Relationship Id="rId982" Type="http://schemas.openxmlformats.org/officeDocument/2006/relationships/hyperlink" Target="https://www.alberta.ca/release.cfm?xID=644204AFFDD87-B96A-D0CF-F64984DCC01E91AD" TargetMode="External"/><Relationship Id="rId1573" Type="http://schemas.openxmlformats.org/officeDocument/2006/relationships/hyperlink" Target="http://assnat.qc.ca/fr/travaux-parlementaires/projets-loi/projet-loi-21-42-2.html" TargetMode="External"/><Relationship Id="rId981" Type="http://schemas.openxmlformats.org/officeDocument/2006/relationships/hyperlink" Target="https://legislation.nimonikapp.com/legislations/219513/legislation_texts" TargetMode="External"/><Relationship Id="rId1574" Type="http://schemas.openxmlformats.org/officeDocument/2006/relationships/hyperlink" Target="https://legislation.nimonikapp.com/legislations/503642/legislation_texts" TargetMode="External"/><Relationship Id="rId980" Type="http://schemas.openxmlformats.org/officeDocument/2006/relationships/hyperlink" Target="https://www.cer-rec.gc.ca/bts/ctrg/gnnb/ntrmflnggdnc/2019flngntrm/index-fra.html" TargetMode="External"/><Relationship Id="rId1575" Type="http://schemas.openxmlformats.org/officeDocument/2006/relationships/hyperlink" Target="https://canlii.ca/t/bgh2" TargetMode="External"/><Relationship Id="rId1565" Type="http://schemas.openxmlformats.org/officeDocument/2006/relationships/hyperlink" Target="https://www.leg.bc.ca/parliamentary-business/legislation-debates-proceedings/42nd-parliament/3rd-session/bills/progress-of-bills" TargetMode="External"/><Relationship Id="rId1566" Type="http://schemas.openxmlformats.org/officeDocument/2006/relationships/hyperlink" Target="https://legislation.nimonikapp.com/legislations/499888/legislation_texts" TargetMode="External"/><Relationship Id="rId1567" Type="http://schemas.openxmlformats.org/officeDocument/2006/relationships/hyperlink" Target="https://canlii.ca/t/bhrf" TargetMode="External"/><Relationship Id="rId1568" Type="http://schemas.openxmlformats.org/officeDocument/2006/relationships/hyperlink" Target="http://www2.publicationsduquebec.gouv.qc.ca/dynamicSearch/telecharge.php?type=5&amp;file=2022C10A.PDF" TargetMode="External"/><Relationship Id="rId1569" Type="http://schemas.openxmlformats.org/officeDocument/2006/relationships/hyperlink" Target="http://assnat.qc.ca/en/travaux-parlementaires/projets-loi/projet-loi-21-42-2.html" TargetMode="External"/><Relationship Id="rId976" Type="http://schemas.openxmlformats.org/officeDocument/2006/relationships/hyperlink" Target="http://www.gazette.gc.ca/rp-pr/p2/2019/2019-08-21/html/sor-dors300-fra.html" TargetMode="External"/><Relationship Id="rId975" Type="http://schemas.openxmlformats.org/officeDocument/2006/relationships/hyperlink" Target="http://canlii.ca/t/f9zd" TargetMode="External"/><Relationship Id="rId974" Type="http://schemas.openxmlformats.org/officeDocument/2006/relationships/hyperlink" Target="https://legislation.nimonikapp.com/legislations/217504/legislation_texts" TargetMode="External"/><Relationship Id="rId973" Type="http://schemas.openxmlformats.org/officeDocument/2006/relationships/hyperlink" Target="http://www.gazette.gc.ca/rp-pr/p2/2019/2019-08-21/html/sor-dors300-eng.html" TargetMode="External"/><Relationship Id="rId979" Type="http://schemas.openxmlformats.org/officeDocument/2006/relationships/hyperlink" Target="https://legislation.nimonikapp.com/legislations/218770/legislation_texts" TargetMode="External"/><Relationship Id="rId978" Type="http://schemas.openxmlformats.org/officeDocument/2006/relationships/hyperlink" Target="https://www.cer-rec.gc.ca/bts/ctrg/gnnb/ntrmflnggdnc/2019flngntrm/index-eng.html" TargetMode="External"/><Relationship Id="rId977" Type="http://schemas.openxmlformats.org/officeDocument/2006/relationships/hyperlink" Target="https://legislation.nimonikapp.com/legislations/218769/legislation_texts" TargetMode="External"/><Relationship Id="rId1560" Type="http://schemas.openxmlformats.org/officeDocument/2006/relationships/hyperlink" Target="https://canadagazetteducanada.gc.ca/rp-pr/p2/2022/2022-04-27/html/sor-dors82-fra.html" TargetMode="External"/><Relationship Id="rId972" Type="http://schemas.openxmlformats.org/officeDocument/2006/relationships/hyperlink" Target="http://canlii.ca/t/9lv2" TargetMode="External"/><Relationship Id="rId1561" Type="http://schemas.openxmlformats.org/officeDocument/2006/relationships/hyperlink" Target="https://canadagazetteducanada.gc.ca/rp-pr/p2/2022/2022-04-27/pdf/g2-15609.pdf" TargetMode="External"/><Relationship Id="rId971" Type="http://schemas.openxmlformats.org/officeDocument/2006/relationships/hyperlink" Target="https://legislation.nimonikapp.com/legislations/217503/legislation_texts" TargetMode="External"/><Relationship Id="rId1562" Type="http://schemas.openxmlformats.org/officeDocument/2006/relationships/hyperlink" Target="https://legislation.nimonikapp.com/legislations/498678/legislation_texts" TargetMode="External"/><Relationship Id="rId970" Type="http://schemas.openxmlformats.org/officeDocument/2006/relationships/hyperlink" Target="http://www.gazette.gc.ca/rp-pr/p2/2019/2019-08-21/html/sor-dors280-fra.html" TargetMode="External"/><Relationship Id="rId1563" Type="http://schemas.openxmlformats.org/officeDocument/2006/relationships/hyperlink" Target="https://novascotia.ca/just/regulations/rg2/2022/RG2-2022-05-06.pdf" TargetMode="External"/><Relationship Id="rId1564" Type="http://schemas.openxmlformats.org/officeDocument/2006/relationships/hyperlink" Target="https://www.leg.bc.ca/Pages/BCLASS-Legacy.aspx" TargetMode="External"/><Relationship Id="rId1114" Type="http://schemas.openxmlformats.org/officeDocument/2006/relationships/hyperlink" Target="https://legislation.nimonikapp.com/legislations/242847/legislation_texts" TargetMode="External"/><Relationship Id="rId1598" Type="http://schemas.openxmlformats.org/officeDocument/2006/relationships/hyperlink" Target="https://legislation.nimonikapp.com/legislations/518358/legislation_texts" TargetMode="External"/><Relationship Id="rId1115" Type="http://schemas.openxmlformats.org/officeDocument/2006/relationships/hyperlink" Target="http://canlii.ca/t/9q4k" TargetMode="External"/><Relationship Id="rId1599" Type="http://schemas.openxmlformats.org/officeDocument/2006/relationships/hyperlink" Target="https://canlii.ca/t/8z1g" TargetMode="External"/><Relationship Id="rId1116" Type="http://schemas.openxmlformats.org/officeDocument/2006/relationships/hyperlink" Target="http://gazette.gc.ca/rp-pr/p2/2020/2020-04-15/html/sor-dors60-eng.html" TargetMode="External"/><Relationship Id="rId1117" Type="http://schemas.openxmlformats.org/officeDocument/2006/relationships/hyperlink" Target="http://gazette.gc.ca/rp-pr/p2/2020/2020-04-15/pdf/g2-15408.pdf" TargetMode="External"/><Relationship Id="rId1118" Type="http://schemas.openxmlformats.org/officeDocument/2006/relationships/hyperlink" Target="https://legislation.nimonikapp.com/legislations/242848/legislation_texts" TargetMode="External"/><Relationship Id="rId1119" Type="http://schemas.openxmlformats.org/officeDocument/2006/relationships/hyperlink" Target="http://canlii.ca/t/9q4k" TargetMode="External"/><Relationship Id="rId525" Type="http://schemas.openxmlformats.org/officeDocument/2006/relationships/hyperlink" Target="https://legislation.nimonikapp.com/legislations/4689/legislation_texts" TargetMode="External"/><Relationship Id="rId524" Type="http://schemas.openxmlformats.org/officeDocument/2006/relationships/hyperlink" Target="https://canlii.ca/t/8ss0" TargetMode="External"/><Relationship Id="rId523" Type="http://schemas.openxmlformats.org/officeDocument/2006/relationships/hyperlink" Target="https://legislation.nimonikapp.com/legislations/4688/legislation_texts" TargetMode="External"/><Relationship Id="rId522" Type="http://schemas.openxmlformats.org/officeDocument/2006/relationships/hyperlink" Target="https://canlii.ca/t/8srk" TargetMode="External"/><Relationship Id="rId529" Type="http://schemas.openxmlformats.org/officeDocument/2006/relationships/hyperlink" Target="https://canlii.ca/t/8sts" TargetMode="External"/><Relationship Id="rId528" Type="http://schemas.openxmlformats.org/officeDocument/2006/relationships/hyperlink" Target="https://legislation.nimonikapp.com/legislations/4736/legislation_texts" TargetMode="External"/><Relationship Id="rId527" Type="http://schemas.openxmlformats.org/officeDocument/2006/relationships/hyperlink" Target="https://open.alberta.ca/publications/species-assessed-by-the-conservation-committee-alberta-species-at-risk" TargetMode="External"/><Relationship Id="rId526" Type="http://schemas.openxmlformats.org/officeDocument/2006/relationships/hyperlink" Target="https://canlii.ca/t/8stw" TargetMode="External"/><Relationship Id="rId1590" Type="http://schemas.openxmlformats.org/officeDocument/2006/relationships/hyperlink" Target="https://canlii.ca/t/87bg" TargetMode="External"/><Relationship Id="rId1591" Type="http://schemas.openxmlformats.org/officeDocument/2006/relationships/hyperlink" Target="https://nslegislature.ca/sites/default/files/legc/statutes/offshore.htm" TargetMode="External"/><Relationship Id="rId1592" Type="http://schemas.openxmlformats.org/officeDocument/2006/relationships/hyperlink" Target="https://legislation.nimonikapp.com/legislations/518356/legislation_texts" TargetMode="External"/><Relationship Id="rId1593" Type="http://schemas.openxmlformats.org/officeDocument/2006/relationships/hyperlink" Target="https://canlii.ca/t/8z1f" TargetMode="External"/><Relationship Id="rId521" Type="http://schemas.openxmlformats.org/officeDocument/2006/relationships/hyperlink" Target="https://legislation.nimonikapp.com/legislations/4685/legislation_texts" TargetMode="External"/><Relationship Id="rId1110" Type="http://schemas.openxmlformats.org/officeDocument/2006/relationships/hyperlink" Target="https://legislation.nimonikapp.com/legislations/242845/legislation_texts" TargetMode="External"/><Relationship Id="rId1594" Type="http://schemas.openxmlformats.org/officeDocument/2006/relationships/hyperlink" Target="https://novascotia.ca/just/regulations/regs/copradmonetary.htm" TargetMode="External"/><Relationship Id="rId520" Type="http://schemas.openxmlformats.org/officeDocument/2006/relationships/hyperlink" Target="https://canlii.ca/t/8srh" TargetMode="External"/><Relationship Id="rId1111" Type="http://schemas.openxmlformats.org/officeDocument/2006/relationships/hyperlink" Target="http://www2.publicationsduquebec.gouv.qc.ca/dynamicSearch/telecharge.php?type=1&amp;file=104359.pdf" TargetMode="External"/><Relationship Id="rId1595" Type="http://schemas.openxmlformats.org/officeDocument/2006/relationships/hyperlink" Target="https://legislation.nimonikapp.com/legislations/518357/legislation_texts" TargetMode="External"/><Relationship Id="rId1112" Type="http://schemas.openxmlformats.org/officeDocument/2006/relationships/hyperlink" Target="https://legislation.nimonikapp.com/legislations/242846/legislation_texts" TargetMode="External"/><Relationship Id="rId1596" Type="http://schemas.openxmlformats.org/officeDocument/2006/relationships/hyperlink" Target="https://canlii.ca/t/8z1h" TargetMode="External"/><Relationship Id="rId1113" Type="http://schemas.openxmlformats.org/officeDocument/2006/relationships/hyperlink" Target="http://www2.publicationsduquebec.gouv.qc.ca/dynamicSearch/telecharge.php?type=1&amp;file=72420.pdf" TargetMode="External"/><Relationship Id="rId1597" Type="http://schemas.openxmlformats.org/officeDocument/2006/relationships/hyperlink" Target="https://novascotia.ca/just/regulations/regs/coprcostrecovery.htm" TargetMode="External"/><Relationship Id="rId1103" Type="http://schemas.openxmlformats.org/officeDocument/2006/relationships/hyperlink" Target="https://legislation.nimonikapp.com/legislations/238343/legislation_texts" TargetMode="External"/><Relationship Id="rId1587" Type="http://schemas.openxmlformats.org/officeDocument/2006/relationships/hyperlink" Target="https://canadagazetteducanada.gc.ca/rp-pr/p2/2022/2022-07-06/html/sor-dors140-fra.html" TargetMode="External"/><Relationship Id="rId1104" Type="http://schemas.openxmlformats.org/officeDocument/2006/relationships/hyperlink" Target="http://canlii.ca/t/82fz" TargetMode="External"/><Relationship Id="rId1588" Type="http://schemas.openxmlformats.org/officeDocument/2006/relationships/hyperlink" Target="https://canadagazetteducanada.gc.ca/rp-pr/p2/2022/2022-07-06/pdf/g2-15614.pdf" TargetMode="External"/><Relationship Id="rId1105" Type="http://schemas.openxmlformats.org/officeDocument/2006/relationships/hyperlink" Target="http://www.qp.alberta.ca/documents/Regs/2001_045.pdf" TargetMode="External"/><Relationship Id="rId1589" Type="http://schemas.openxmlformats.org/officeDocument/2006/relationships/hyperlink" Target="https://legislation.nimonikapp.com/legislations/518253/legislation_texts" TargetMode="External"/><Relationship Id="rId1106" Type="http://schemas.openxmlformats.org/officeDocument/2006/relationships/hyperlink" Target="http://www.qp.alberta.ca/570.cfm" TargetMode="External"/><Relationship Id="rId1107" Type="http://schemas.openxmlformats.org/officeDocument/2006/relationships/hyperlink" Target="https://legislation.nimonikapp.com/legislations/242589/legislation_texts" TargetMode="External"/><Relationship Id="rId1108" Type="http://schemas.openxmlformats.org/officeDocument/2006/relationships/hyperlink" Target="https://www.aer.ca/documents/directives/DraftDirective023_20130528.pdf" TargetMode="External"/><Relationship Id="rId1109" Type="http://schemas.openxmlformats.org/officeDocument/2006/relationships/hyperlink" Target="https://www.aer.ca/regulating-development/rules-and-directives/directives/directive-023-draft.html" TargetMode="External"/><Relationship Id="rId519" Type="http://schemas.openxmlformats.org/officeDocument/2006/relationships/hyperlink" Target="https://canlii.ca/t/8srn" TargetMode="External"/><Relationship Id="rId514" Type="http://schemas.openxmlformats.org/officeDocument/2006/relationships/hyperlink" Target="https://legislation.nimonikapp.com/legislations/4672/legislation_texts" TargetMode="External"/><Relationship Id="rId998" Type="http://schemas.openxmlformats.org/officeDocument/2006/relationships/hyperlink" Target="http://www.gazette.gc.ca/rp-pr/p2/2019/2019-12-11/html/sor-dors348-fra.html" TargetMode="External"/><Relationship Id="rId513" Type="http://schemas.openxmlformats.org/officeDocument/2006/relationships/hyperlink" Target="https://canlii.ca/t/8s9c" TargetMode="External"/><Relationship Id="rId997" Type="http://schemas.openxmlformats.org/officeDocument/2006/relationships/hyperlink" Target="https://legislation.nimonikapp.com/legislations/226394/legislation_texts" TargetMode="External"/><Relationship Id="rId512" Type="http://schemas.openxmlformats.org/officeDocument/2006/relationships/hyperlink" Target="https://legislation.nimonikapp.com/legislations/4667/legislation_texts" TargetMode="External"/><Relationship Id="rId996" Type="http://schemas.openxmlformats.org/officeDocument/2006/relationships/hyperlink" Target="http://www.gazette.gc.ca/rp-pr/p2/2019/2019-12-11/pdf/g2-15325.pdf" TargetMode="External"/><Relationship Id="rId511" Type="http://schemas.openxmlformats.org/officeDocument/2006/relationships/hyperlink" Target="https://static.aer.ca/prd/documents/manuals/Manual005.pdf" TargetMode="External"/><Relationship Id="rId995" Type="http://schemas.openxmlformats.org/officeDocument/2006/relationships/hyperlink" Target="http://www.gazette.gc.ca/rp-pr/p2/2019/2019-12-11/html/sor-dors348-eng.html" TargetMode="External"/><Relationship Id="rId518" Type="http://schemas.openxmlformats.org/officeDocument/2006/relationships/hyperlink" Target="https://canlii.ca/t/8srm" TargetMode="External"/><Relationship Id="rId517" Type="http://schemas.openxmlformats.org/officeDocument/2006/relationships/hyperlink" Target="https://legislation.nimonikapp.com/legislations/4682/legislation_texts" TargetMode="External"/><Relationship Id="rId516" Type="http://schemas.openxmlformats.org/officeDocument/2006/relationships/hyperlink" Target="https://open.alberta.ca/dataset/1eb8d00a-3e87-45a9-8fc8-6da6e93776a5/resource/cad87fda-c373-467c-a065-324f738498e3/download/2008-guidelinesurfacedispositionspublicland.pdf" TargetMode="External"/><Relationship Id="rId515" Type="http://schemas.openxmlformats.org/officeDocument/2006/relationships/hyperlink" Target="https://canlii.ca/t/8scf" TargetMode="External"/><Relationship Id="rId999" Type="http://schemas.openxmlformats.org/officeDocument/2006/relationships/hyperlink" Target="http://www.gazette.gc.ca/rp-pr/p2/2019/2019-12-11/pdf/g2-15325.pdf" TargetMode="External"/><Relationship Id="rId990" Type="http://schemas.openxmlformats.org/officeDocument/2006/relationships/hyperlink" Target="https://legislation.nimonikapp.com/legislations/220767/legislation_texts" TargetMode="External"/><Relationship Id="rId1580" Type="http://schemas.openxmlformats.org/officeDocument/2006/relationships/hyperlink" Target="https://canadagazetteducanada.gc.ca/rp-pr/p1/2022/2022-06-18/pdf/g1-15625.pdf" TargetMode="External"/><Relationship Id="rId1581" Type="http://schemas.openxmlformats.org/officeDocument/2006/relationships/hyperlink" Target="https://legislation.nimonikapp.com/legislations/507263/legislation_texts" TargetMode="External"/><Relationship Id="rId1582" Type="http://schemas.openxmlformats.org/officeDocument/2006/relationships/hyperlink" Target="https://canadagazetteducanada.gc.ca/rp-pr/p1/2022/2022-06-18/html/reg5-fra.html" TargetMode="External"/><Relationship Id="rId510" Type="http://schemas.openxmlformats.org/officeDocument/2006/relationships/hyperlink" Target="https://legislation.nimonikapp.com/legislations/4665/legislation_texts" TargetMode="External"/><Relationship Id="rId994" Type="http://schemas.openxmlformats.org/officeDocument/2006/relationships/hyperlink" Target="https://legislation.nimonikapp.com/legislations/226393/legislation_texts" TargetMode="External"/><Relationship Id="rId1583" Type="http://schemas.openxmlformats.org/officeDocument/2006/relationships/hyperlink" Target="https://canadagazetteducanada.gc.ca/rp-pr/p1/2022/2022-06-18/pdf/g1-15625.pdf" TargetMode="External"/><Relationship Id="rId993" Type="http://schemas.openxmlformats.org/officeDocument/2006/relationships/hyperlink" Target="https://www.saskatchewan.ca/government/public-consultations/proposed-amendments-to-the-hydrostatic-testing-chapter" TargetMode="External"/><Relationship Id="rId1100" Type="http://schemas.openxmlformats.org/officeDocument/2006/relationships/hyperlink" Target="http://canlii.ca/t/83fn" TargetMode="External"/><Relationship Id="rId1584" Type="http://schemas.openxmlformats.org/officeDocument/2006/relationships/hyperlink" Target="https://legislation.nimonikapp.com/legislations/512185/legislation_texts" TargetMode="External"/><Relationship Id="rId992" Type="http://schemas.openxmlformats.org/officeDocument/2006/relationships/hyperlink" Target="https://legislation.nimonikapp.com/legislations/223283/legislation_texts" TargetMode="External"/><Relationship Id="rId1101" Type="http://schemas.openxmlformats.org/officeDocument/2006/relationships/hyperlink" Target="http://www.qp.alberta.ca/documents/Regs/2006_174.pdf" TargetMode="External"/><Relationship Id="rId1585" Type="http://schemas.openxmlformats.org/officeDocument/2006/relationships/hyperlink" Target="https://canadagazetteducanada.gc.ca/rp-pr/p2/2022/2022-07-06/html/sor-dors140-eng.html" TargetMode="External"/><Relationship Id="rId991" Type="http://schemas.openxmlformats.org/officeDocument/2006/relationships/hyperlink" Target="http://www2.publicationsduquebec.gouv.qc.ca/dynamicSearch/telecharge.php?type=1&amp;file=71296.pdf" TargetMode="External"/><Relationship Id="rId1102" Type="http://schemas.openxmlformats.org/officeDocument/2006/relationships/hyperlink" Target="http://www.qp.alberta.ca/570.cfm" TargetMode="External"/><Relationship Id="rId1586" Type="http://schemas.openxmlformats.org/officeDocument/2006/relationships/hyperlink" Target="https://canadagazetteducanada.gc.ca/rp-pr/p2/2022/2022-07-06/pdf/g2-15614.pdf" TargetMode="External"/><Relationship Id="rId1532" Type="http://schemas.openxmlformats.org/officeDocument/2006/relationships/hyperlink" Target="https://legislation.nimonikapp.com/legislations/469512/legislation_texts" TargetMode="External"/><Relationship Id="rId1533" Type="http://schemas.openxmlformats.org/officeDocument/2006/relationships/hyperlink" Target="https://canlii.ca/t/dnrn" TargetMode="External"/><Relationship Id="rId1534" Type="http://schemas.openxmlformats.org/officeDocument/2006/relationships/hyperlink" Target="https://laws-lois.justice.gc.ca/fra/reglements/DORS-2016-260/TexteComplet.html" TargetMode="External"/><Relationship Id="rId1535" Type="http://schemas.openxmlformats.org/officeDocument/2006/relationships/hyperlink" Target="https://legislation.nimonikapp.com/legislations/469915/legislation_texts" TargetMode="External"/><Relationship Id="rId1536" Type="http://schemas.openxmlformats.org/officeDocument/2006/relationships/hyperlink" Target="http://assnat.qc.ca/en/travaux-parlementaires/projets-loi/projet-loi-21-42-2.html" TargetMode="External"/><Relationship Id="rId1537" Type="http://schemas.openxmlformats.org/officeDocument/2006/relationships/hyperlink" Target="https://legislation.nimonikapp.com/legislations/469916/legislation_texts" TargetMode="External"/><Relationship Id="rId1538" Type="http://schemas.openxmlformats.org/officeDocument/2006/relationships/hyperlink" Target="http://assnat.qc.ca/fr/travaux-parlementaires/projets-loi/projet-loi-21-42-2.html" TargetMode="External"/><Relationship Id="rId1539" Type="http://schemas.openxmlformats.org/officeDocument/2006/relationships/hyperlink" Target="https://legislation.nimonikapp.com/legislations/485363/legislation_texts" TargetMode="External"/><Relationship Id="rId949" Type="http://schemas.openxmlformats.org/officeDocument/2006/relationships/hyperlink" Target="http://ca-cgsb-3.24-2018.fr" TargetMode="External"/><Relationship Id="rId948" Type="http://schemas.openxmlformats.org/officeDocument/2006/relationships/hyperlink" Target="http://www.publications.gc.ca/site/fra/9.872037/publication.html" TargetMode="External"/><Relationship Id="rId943" Type="http://schemas.openxmlformats.org/officeDocument/2006/relationships/hyperlink" Target="https://legislation.nimonikapp.com/legislations/216463/legislation_texts" TargetMode="External"/><Relationship Id="rId942" Type="http://schemas.openxmlformats.org/officeDocument/2006/relationships/hyperlink" Target="http://publications.gc.ca/collections/collection_2019/ongc-cgsb/P29-003-023-2019-fra.pdf" TargetMode="External"/><Relationship Id="rId941" Type="http://schemas.openxmlformats.org/officeDocument/2006/relationships/hyperlink" Target="http://www.publications.gc.ca/site/fra/9.872041/publication.html" TargetMode="External"/><Relationship Id="rId940" Type="http://schemas.openxmlformats.org/officeDocument/2006/relationships/hyperlink" Target="https://legislation.nimonikapp.com/legislations/216462/legislation_texts" TargetMode="External"/><Relationship Id="rId947" Type="http://schemas.openxmlformats.org/officeDocument/2006/relationships/hyperlink" Target="https://legislation.nimonikapp.com/legislations/216464/legislation_texts" TargetMode="External"/><Relationship Id="rId946" Type="http://schemas.openxmlformats.org/officeDocument/2006/relationships/hyperlink" Target="http://ca-cgsb-3.24-2019.fr" TargetMode="External"/><Relationship Id="rId945" Type="http://schemas.openxmlformats.org/officeDocument/2006/relationships/hyperlink" Target="http://publications.gc.ca/collections/collection_2019/ongc-cgsb/P29-4-3-24-2019-eng.pdf" TargetMode="External"/><Relationship Id="rId944" Type="http://schemas.openxmlformats.org/officeDocument/2006/relationships/hyperlink" Target="http://www.publications.gc.ca/site/eng/9.872035/publication.html" TargetMode="External"/><Relationship Id="rId1530" Type="http://schemas.openxmlformats.org/officeDocument/2006/relationships/hyperlink" Target="https://canlii.ca/t/8znb" TargetMode="External"/><Relationship Id="rId1531" Type="http://schemas.openxmlformats.org/officeDocument/2006/relationships/hyperlink" Target="https://laws-lois.justice.gc.ca/eng/regulations/SOR-2016-260/FullText.html" TargetMode="External"/><Relationship Id="rId1521" Type="http://schemas.openxmlformats.org/officeDocument/2006/relationships/hyperlink" Target="https://canlii.ca/t/cljg" TargetMode="External"/><Relationship Id="rId1522" Type="http://schemas.openxmlformats.org/officeDocument/2006/relationships/hyperlink" Target="https://laws-lois.justice.gc.ca/fra/reglements/C.R.C.%2C_ch._335/TexteComplet.html" TargetMode="External"/><Relationship Id="rId1523" Type="http://schemas.openxmlformats.org/officeDocument/2006/relationships/hyperlink" Target="https://legislation.nimonikapp.com/legislations/469505/legislation_texts" TargetMode="External"/><Relationship Id="rId1524" Type="http://schemas.openxmlformats.org/officeDocument/2006/relationships/hyperlink" Target="https://canlii.ca/t/7zq1" TargetMode="External"/><Relationship Id="rId1525" Type="http://schemas.openxmlformats.org/officeDocument/2006/relationships/hyperlink" Target="https://laws-lois.justice.gc.ca/eng/regulations/SOR-86-787/FullText.html" TargetMode="External"/><Relationship Id="rId1526" Type="http://schemas.openxmlformats.org/officeDocument/2006/relationships/hyperlink" Target="https://legislation.nimonikapp.com/legislations/469506/legislation_texts" TargetMode="External"/><Relationship Id="rId1527" Type="http://schemas.openxmlformats.org/officeDocument/2006/relationships/hyperlink" Target="https://canlii.ca/t/cntc" TargetMode="External"/><Relationship Id="rId1528" Type="http://schemas.openxmlformats.org/officeDocument/2006/relationships/hyperlink" Target="https://laws-lois.justice.gc.ca/fra/reglements/DORS-86-787/TexteComplet.html" TargetMode="External"/><Relationship Id="rId1529" Type="http://schemas.openxmlformats.org/officeDocument/2006/relationships/hyperlink" Target="https://legislation.nimonikapp.com/legislations/469511/legislation_texts" TargetMode="External"/><Relationship Id="rId939" Type="http://schemas.openxmlformats.org/officeDocument/2006/relationships/hyperlink" Target="http://publications.gc.ca/collections/collection_2019/ongc-cgsb/P29-003-023-2019-eng.pdf" TargetMode="External"/><Relationship Id="rId938" Type="http://schemas.openxmlformats.org/officeDocument/2006/relationships/hyperlink" Target="http://www.publications.gc.ca/site/eng/9.872039/publication.html" TargetMode="External"/><Relationship Id="rId937" Type="http://schemas.openxmlformats.org/officeDocument/2006/relationships/hyperlink" Target="https://legislation.nimonikapp.com/legislations/216461/legislation_texts" TargetMode="External"/><Relationship Id="rId932" Type="http://schemas.openxmlformats.org/officeDocument/2006/relationships/hyperlink" Target="http://publications.gc.ca/collections/collection_2018/ongc-cgsb/P29-4-3-24-2018-eng.pdf" TargetMode="External"/><Relationship Id="rId931" Type="http://schemas.openxmlformats.org/officeDocument/2006/relationships/hyperlink" Target="http://www.publications.gc.ca/site/eng/9.855733/publication.html" TargetMode="External"/><Relationship Id="rId930" Type="http://schemas.openxmlformats.org/officeDocument/2006/relationships/hyperlink" Target="https://legislation.nimonikapp.com/legislations/216416/legislation_texts" TargetMode="External"/><Relationship Id="rId936" Type="http://schemas.openxmlformats.org/officeDocument/2006/relationships/hyperlink" Target="http://publications.gc.ca/collections/collection_2018/ongc-cgsb/P29-4-3-24-2018-fra.pdf" TargetMode="External"/><Relationship Id="rId935" Type="http://schemas.openxmlformats.org/officeDocument/2006/relationships/hyperlink" Target="http://www.publications.gc.ca/site/fra/9.855735/publication.html" TargetMode="External"/><Relationship Id="rId934" Type="http://schemas.openxmlformats.org/officeDocument/2006/relationships/hyperlink" Target="https://legislation.nimonikapp.com/legislations/216417/legislation_texts" TargetMode="External"/><Relationship Id="rId933" Type="http://schemas.openxmlformats.org/officeDocument/2006/relationships/hyperlink" Target="http://ca-cgsb-3.24-2018.fr" TargetMode="External"/><Relationship Id="rId1520" Type="http://schemas.openxmlformats.org/officeDocument/2006/relationships/hyperlink" Target="https://legislation.nimonikapp.com/legislations/469472/legislation_texts" TargetMode="External"/><Relationship Id="rId1554" Type="http://schemas.openxmlformats.org/officeDocument/2006/relationships/hyperlink" Target="https://legislation.nimonikapp.com/legislations/496977/legislation_texts" TargetMode="External"/><Relationship Id="rId1555" Type="http://schemas.openxmlformats.org/officeDocument/2006/relationships/hyperlink" Target="https://canlii.ca/t/bg46" TargetMode="External"/><Relationship Id="rId1556" Type="http://schemas.openxmlformats.org/officeDocument/2006/relationships/hyperlink" Target="https://canadagazetteducanada.gc.ca/rp-pr/p2/2022/2022-04-27/html/sor-dors82-eng.html" TargetMode="External"/><Relationship Id="rId1557" Type="http://schemas.openxmlformats.org/officeDocument/2006/relationships/hyperlink" Target="https://canadagazetteducanada.gc.ca/rp-pr/p2/2022/2022-04-27/pdf/g2-15609.pdf" TargetMode="External"/><Relationship Id="rId1558" Type="http://schemas.openxmlformats.org/officeDocument/2006/relationships/hyperlink" Target="https://legislation.nimonikapp.com/legislations/496978/legislation_texts" TargetMode="External"/><Relationship Id="rId1559" Type="http://schemas.openxmlformats.org/officeDocument/2006/relationships/hyperlink" Target="https://canlii.ca/t/g57j" TargetMode="External"/><Relationship Id="rId965" Type="http://schemas.openxmlformats.org/officeDocument/2006/relationships/hyperlink" Target="https://legislation.nimonikapp.com/legislations/217499/legislation_texts" TargetMode="External"/><Relationship Id="rId964" Type="http://schemas.openxmlformats.org/officeDocument/2006/relationships/hyperlink" Target="https://static.aer.ca/prd/documents/directives/Directive054.pdf" TargetMode="External"/><Relationship Id="rId963" Type="http://schemas.openxmlformats.org/officeDocument/2006/relationships/hyperlink" Target="https://legislation.nimonikapp.com/legislations/217166/legislation_texts" TargetMode="External"/><Relationship Id="rId962" Type="http://schemas.openxmlformats.org/officeDocument/2006/relationships/hyperlink" Target="https://www.cer-rec.gc.ca/fr/securite-environnement/rendement-lindustrie/avis-securite-dinformation/avis-dinformation/2019/avis-dinformation-loffice-national-lenergie-one-ia-2019-002.html" TargetMode="External"/><Relationship Id="rId969" Type="http://schemas.openxmlformats.org/officeDocument/2006/relationships/hyperlink" Target="http://canlii.ca/t/f9z2" TargetMode="External"/><Relationship Id="rId968" Type="http://schemas.openxmlformats.org/officeDocument/2006/relationships/hyperlink" Target="https://legislation.nimonikapp.com/legislations/217500/legislation_texts" TargetMode="External"/><Relationship Id="rId967" Type="http://schemas.openxmlformats.org/officeDocument/2006/relationships/hyperlink" Target="http://www.gazette.gc.ca/rp-pr/p2/2019/2019-08-21/html/sor-dors280-eng.html" TargetMode="External"/><Relationship Id="rId966" Type="http://schemas.openxmlformats.org/officeDocument/2006/relationships/hyperlink" Target="http://canlii.ca/t/9ltq" TargetMode="External"/><Relationship Id="rId961" Type="http://schemas.openxmlformats.org/officeDocument/2006/relationships/hyperlink" Target="https://www.cer-rec.gc.ca/fr/securite-environnement/rendement-lindustrie/avis-securite-dinformation/avis-dinformation/2019/avis-dinformation-loffice-national-lenergie-one-ia-2019-002.pdf" TargetMode="External"/><Relationship Id="rId1550" Type="http://schemas.openxmlformats.org/officeDocument/2006/relationships/hyperlink" Target="https://publications.gc.ca/site/eng/9.904474/publication.html" TargetMode="External"/><Relationship Id="rId960" Type="http://schemas.openxmlformats.org/officeDocument/2006/relationships/hyperlink" Target="https://legislation.nimonikapp.com/legislations/216534/legislation_texts" TargetMode="External"/><Relationship Id="rId1551" Type="http://schemas.openxmlformats.org/officeDocument/2006/relationships/hyperlink" Target="https://legislation.nimonikapp.com/legislations/491731/legislation_texts" TargetMode="External"/><Relationship Id="rId1552" Type="http://schemas.openxmlformats.org/officeDocument/2006/relationships/hyperlink" Target="https://publications.gc.ca/collections/collection_2021/ongc-cgsb/P29-003-511-2021-fra.pdf" TargetMode="External"/><Relationship Id="rId1553" Type="http://schemas.openxmlformats.org/officeDocument/2006/relationships/hyperlink" Target="https://publications.gc.ca/site/fra/9.904475/publication.html" TargetMode="External"/><Relationship Id="rId1543" Type="http://schemas.openxmlformats.org/officeDocument/2006/relationships/hyperlink" Target="https://publications.gc.ca/collections/collection_2022/ongc-cgsb/P29-003-005-2022-eng.pdf" TargetMode="External"/><Relationship Id="rId1544" Type="http://schemas.openxmlformats.org/officeDocument/2006/relationships/hyperlink" Target="https://publications.gc.ca/site/eng/9.904470/publication.html" TargetMode="External"/><Relationship Id="rId1545" Type="http://schemas.openxmlformats.org/officeDocument/2006/relationships/hyperlink" Target="https://legislation.nimonikapp.com/legislations/491723/legislation_texts" TargetMode="External"/><Relationship Id="rId1546" Type="http://schemas.openxmlformats.org/officeDocument/2006/relationships/hyperlink" Target="https://publications.gc.ca/collections/collection_2022/ongc-cgsb/P29-003-005-2022-fra.pdf" TargetMode="External"/><Relationship Id="rId1547" Type="http://schemas.openxmlformats.org/officeDocument/2006/relationships/hyperlink" Target="https://publications.gc.ca/site/eng/9.904473/publication.html" TargetMode="External"/><Relationship Id="rId1548" Type="http://schemas.openxmlformats.org/officeDocument/2006/relationships/hyperlink" Target="https://legislation.nimonikapp.com/legislations/491730/legislation_texts" TargetMode="External"/><Relationship Id="rId1549" Type="http://schemas.openxmlformats.org/officeDocument/2006/relationships/hyperlink" Target="https://publications.gc.ca/collections/collection_2021/ongc-cgsb/P29-003-511-2021-eng.pdf" TargetMode="External"/><Relationship Id="rId959" Type="http://schemas.openxmlformats.org/officeDocument/2006/relationships/hyperlink" Target="https://www.cer-rec.gc.ca/en/safety-environment/industry-performance/information-safety-advisories/information-advisory/2019/national-energy-board-information-advisory-neb-ia-2019-002.html" TargetMode="External"/><Relationship Id="rId954" Type="http://schemas.openxmlformats.org/officeDocument/2006/relationships/hyperlink" Target="https://legislation.nimonikapp.com/legislations/216510/legislation_texts" TargetMode="External"/><Relationship Id="rId953" Type="http://schemas.openxmlformats.org/officeDocument/2006/relationships/hyperlink" Target="https://www.tc.gc.ca/eng/marinesafety/tp-menu-515.htm" TargetMode="External"/><Relationship Id="rId952" Type="http://schemas.openxmlformats.org/officeDocument/2006/relationships/hyperlink" Target="https://www.tc.gc.ca/eng/marinesafety/tp-14909-environmental-response-standards.html" TargetMode="External"/><Relationship Id="rId951" Type="http://schemas.openxmlformats.org/officeDocument/2006/relationships/hyperlink" Target="https://legislation.nimonikapp.com/legislations/216509/legislation_texts" TargetMode="External"/><Relationship Id="rId958" Type="http://schemas.openxmlformats.org/officeDocument/2006/relationships/hyperlink" Target="https://www.cer-rec.gc.ca/en/safety-environment/industry-performance/information-safety-advisories/information-advisory/2019/national-energy-board-information-advisory-neb-ia-2019-002.pdf" TargetMode="External"/><Relationship Id="rId957" Type="http://schemas.openxmlformats.org/officeDocument/2006/relationships/hyperlink" Target="https://legislation.nimonikapp.com/legislations/216533/legislation_texts" TargetMode="External"/><Relationship Id="rId956" Type="http://schemas.openxmlformats.org/officeDocument/2006/relationships/hyperlink" Target="https://www.tc.gc.ca/fra/securitemaritime/tp-menu-515.htm" TargetMode="External"/><Relationship Id="rId955" Type="http://schemas.openxmlformats.org/officeDocument/2006/relationships/hyperlink" Target="https://www.tc.gc.ca/fra/securitemaritime/tp-14909-normes-intervention-environnementale.html" TargetMode="External"/><Relationship Id="rId950" Type="http://schemas.openxmlformats.org/officeDocument/2006/relationships/hyperlink" Target="http://publications.gc.ca/collections/collection_2019/ongc-cgsb/P29-4-3-24-2019-fra.pdf" TargetMode="External"/><Relationship Id="rId1540" Type="http://schemas.openxmlformats.org/officeDocument/2006/relationships/hyperlink" Target="https://canlii.ca/t/bg57" TargetMode="External"/><Relationship Id="rId1541" Type="http://schemas.openxmlformats.org/officeDocument/2006/relationships/hyperlink" Target="https://www.ontario.ca/laws/regulation/r22088" TargetMode="External"/><Relationship Id="rId1542" Type="http://schemas.openxmlformats.org/officeDocument/2006/relationships/hyperlink" Target="https://legislation.nimonikapp.com/legislations/491722/legislation_texts" TargetMode="External"/><Relationship Id="rId590" Type="http://schemas.openxmlformats.org/officeDocument/2006/relationships/hyperlink" Target="https://static.aer.ca/prd/documents/directives/Directive006.pdf" TargetMode="External"/><Relationship Id="rId107" Type="http://schemas.openxmlformats.org/officeDocument/2006/relationships/hyperlink" Target="https://legislation.nimonikapp.com/legislations/1422/legislation_texts" TargetMode="External"/><Relationship Id="rId106" Type="http://schemas.openxmlformats.org/officeDocument/2006/relationships/hyperlink" Target="https://canlii.org/en/pe/laws/regu/pei-reg-ec38-91/latest/pei-reg-ec38-91.html" TargetMode="External"/><Relationship Id="rId105" Type="http://schemas.openxmlformats.org/officeDocument/2006/relationships/hyperlink" Target="https://legislation.nimonikapp.com/legislations/1420/legislation_texts" TargetMode="External"/><Relationship Id="rId589" Type="http://schemas.openxmlformats.org/officeDocument/2006/relationships/hyperlink" Target="https://legislation.nimonikapp.com/legislations/163310/legislation_texts" TargetMode="External"/><Relationship Id="rId104" Type="http://schemas.openxmlformats.org/officeDocument/2006/relationships/hyperlink" Target="https://canlii.org/en/nt/laws/regu/nwt-reg-094-91/latest/nwt-reg-094-91.html" TargetMode="External"/><Relationship Id="rId588" Type="http://schemas.openxmlformats.org/officeDocument/2006/relationships/hyperlink" Target="https://static.aer.ca/prd/documents/directives/Directive059.pdf" TargetMode="External"/><Relationship Id="rId109" Type="http://schemas.openxmlformats.org/officeDocument/2006/relationships/hyperlink" Target="https://legislation.nimonikapp.com/legislations/1454/legislation_texts" TargetMode="External"/><Relationship Id="rId1170" Type="http://schemas.openxmlformats.org/officeDocument/2006/relationships/hyperlink" Target="http://canlii.ca/t/7tjz" TargetMode="External"/><Relationship Id="rId108" Type="http://schemas.openxmlformats.org/officeDocument/2006/relationships/hyperlink" Target="https://canlii.org/en/yk/laws/regu/yco-1972-137/latest/yco-1972-137.html" TargetMode="External"/><Relationship Id="rId1171" Type="http://schemas.openxmlformats.org/officeDocument/2006/relationships/hyperlink" Target="https://legislation.nimonikapp.com/legislations/399769/legislation_texts" TargetMode="External"/><Relationship Id="rId583" Type="http://schemas.openxmlformats.org/officeDocument/2006/relationships/hyperlink" Target="https://legislation.nimonikapp.com/legislations/163307/legislation_texts" TargetMode="External"/><Relationship Id="rId1172" Type="http://schemas.openxmlformats.org/officeDocument/2006/relationships/hyperlink" Target="http://canlii.ca/t/cjn9" TargetMode="External"/><Relationship Id="rId582" Type="http://schemas.openxmlformats.org/officeDocument/2006/relationships/hyperlink" Target="https://static.aer.ca/prd/documents/directives/Directive030.pdf" TargetMode="External"/><Relationship Id="rId1173" Type="http://schemas.openxmlformats.org/officeDocument/2006/relationships/hyperlink" Target="https://legislation.nimonikapp.com/legislations/400171/legislation_texts" TargetMode="External"/><Relationship Id="rId581" Type="http://schemas.openxmlformats.org/officeDocument/2006/relationships/hyperlink" Target="https://legislation.nimonikapp.com/legislations/163306/legislation_texts" TargetMode="External"/><Relationship Id="rId1174" Type="http://schemas.openxmlformats.org/officeDocument/2006/relationships/hyperlink" Target="https://parl.ca/DocumentViewer/en/43-2/bill/C-229/first-reading" TargetMode="External"/><Relationship Id="rId580" Type="http://schemas.openxmlformats.org/officeDocument/2006/relationships/hyperlink" Target="https://static.aer.ca/prd/documents/directives/Directive024.pdf" TargetMode="External"/><Relationship Id="rId1175" Type="http://schemas.openxmlformats.org/officeDocument/2006/relationships/hyperlink" Target="https://www.parl.ca/LegisInfo/BillDetails.aspx?Language=E&amp;billId=10866217" TargetMode="External"/><Relationship Id="rId103" Type="http://schemas.openxmlformats.org/officeDocument/2006/relationships/hyperlink" Target="https://legislation.nimonikapp.com/legislations/1386/legislation_texts" TargetMode="External"/><Relationship Id="rId587" Type="http://schemas.openxmlformats.org/officeDocument/2006/relationships/hyperlink" Target="https://legislation.nimonikapp.com/legislations/163309/legislation_texts" TargetMode="External"/><Relationship Id="rId1176" Type="http://schemas.openxmlformats.org/officeDocument/2006/relationships/hyperlink" Target="https://legislation.nimonikapp.com/legislations/400172/legislation_texts" TargetMode="External"/><Relationship Id="rId102" Type="http://schemas.openxmlformats.org/officeDocument/2006/relationships/hyperlink" Target="https://www.canlii.org/en/nt/laws/regu/nwt-reg-064-2003/latest/" TargetMode="External"/><Relationship Id="rId586" Type="http://schemas.openxmlformats.org/officeDocument/2006/relationships/hyperlink" Target="https://static.aer.ca/prd/documents/directives/Directive046.pdf" TargetMode="External"/><Relationship Id="rId1177" Type="http://schemas.openxmlformats.org/officeDocument/2006/relationships/hyperlink" Target="https://parl.ca/DocumentViewer/fr/43-2/projet-loi/C-229/premiere-lecture" TargetMode="External"/><Relationship Id="rId101" Type="http://schemas.openxmlformats.org/officeDocument/2006/relationships/hyperlink" Target="https://legislation.nimonikapp.com/legislations/1382/legislation_texts" TargetMode="External"/><Relationship Id="rId585" Type="http://schemas.openxmlformats.org/officeDocument/2006/relationships/hyperlink" Target="https://legislation.nimonikapp.com/legislations/163308/legislation_texts" TargetMode="External"/><Relationship Id="rId1178" Type="http://schemas.openxmlformats.org/officeDocument/2006/relationships/hyperlink" Target="https://www.parl.ca/LegisInfo/BillDetails.aspx?billId=10866217&amp;Language=F" TargetMode="External"/><Relationship Id="rId100" Type="http://schemas.openxmlformats.org/officeDocument/2006/relationships/hyperlink" Target="https://www.canlii.org/en/nl/laws/regu/nlr-82-02/latest/" TargetMode="External"/><Relationship Id="rId584" Type="http://schemas.openxmlformats.org/officeDocument/2006/relationships/hyperlink" Target="https://static.aer.ca/prd/documents/directives/Directive040.pdf" TargetMode="External"/><Relationship Id="rId1179" Type="http://schemas.openxmlformats.org/officeDocument/2006/relationships/hyperlink" Target="https://legislation.nimonikapp.com/legislations/400329/legislation_texts" TargetMode="External"/><Relationship Id="rId1169" Type="http://schemas.openxmlformats.org/officeDocument/2006/relationships/hyperlink" Target="https://legislation.nimonikapp.com/legislations/399768/legislation_texts" TargetMode="External"/><Relationship Id="rId579" Type="http://schemas.openxmlformats.org/officeDocument/2006/relationships/hyperlink" Target="https://legislation.nimonikapp.com/legislations/163305/legislation_texts" TargetMode="External"/><Relationship Id="rId578" Type="http://schemas.openxmlformats.org/officeDocument/2006/relationships/hyperlink" Target="https://static.aer.ca/prd/documents/directives/Directive010.pdf" TargetMode="External"/><Relationship Id="rId577" Type="http://schemas.openxmlformats.org/officeDocument/2006/relationships/hyperlink" Target="https://legislation.nimonikapp.com/legislations/163304/legislation_texts" TargetMode="External"/><Relationship Id="rId1160" Type="http://schemas.openxmlformats.org/officeDocument/2006/relationships/hyperlink" Target="https://legislation.nimonikapp.com/legislations/397807/legislation_texts" TargetMode="External"/><Relationship Id="rId572" Type="http://schemas.openxmlformats.org/officeDocument/2006/relationships/hyperlink" Target="https://canlii.ca/t/rqp" TargetMode="External"/><Relationship Id="rId1161" Type="http://schemas.openxmlformats.org/officeDocument/2006/relationships/hyperlink" Target="https://www.bcogc.ca/files/operations-documentation/Oil-and-Gas-Operations-Manual/oil-and-gas-activity-operations-manual.pdf" TargetMode="External"/><Relationship Id="rId571" Type="http://schemas.openxmlformats.org/officeDocument/2006/relationships/hyperlink" Target="https://legislation.nimonikapp.com/legislations/12116/legislation_texts" TargetMode="External"/><Relationship Id="rId1162" Type="http://schemas.openxmlformats.org/officeDocument/2006/relationships/hyperlink" Target="https://www.bcogc.ca/energy-professionals/operations-documentation/oil-and-gas-activity-operations-manual/" TargetMode="External"/><Relationship Id="rId570" Type="http://schemas.openxmlformats.org/officeDocument/2006/relationships/hyperlink" Target="https://canlii.ca/t/cn26" TargetMode="External"/><Relationship Id="rId1163" Type="http://schemas.openxmlformats.org/officeDocument/2006/relationships/hyperlink" Target="https://legislation.nimonikapp.com/legislations/398937/legislation_texts" TargetMode="External"/><Relationship Id="rId1164" Type="http://schemas.openxmlformats.org/officeDocument/2006/relationships/hyperlink" Target="http://www.gazette.gc.ca/rp-pr/p1/2020/2020-08-29/html/reg2-eng.html" TargetMode="External"/><Relationship Id="rId576" Type="http://schemas.openxmlformats.org/officeDocument/2006/relationships/hyperlink" Target="https://store.csagroup.org/ccrz__ProductDetails?viewState=DetailView&amp;cartID=&amp;sku=TSSA%20LFHC-2017&amp;isCSRFlow=true&amp;portalUser=&amp;store=&amp;cclcl=en_US&amp;gclid=EAIaIQobChMIlq6GyfXs3AIVUgOGCh27RgA2EAAYASAAEgKD9PD_BwE" TargetMode="External"/><Relationship Id="rId1165" Type="http://schemas.openxmlformats.org/officeDocument/2006/relationships/hyperlink" Target="http://www.gazette.gc.ca/rp-pr/p1/2020/2020-08-29/pdf/g1-15435.pdf" TargetMode="External"/><Relationship Id="rId575" Type="http://schemas.openxmlformats.org/officeDocument/2006/relationships/hyperlink" Target="https://legislation.nimonikapp.com/legislations/13221/legislation_texts" TargetMode="External"/><Relationship Id="rId1166" Type="http://schemas.openxmlformats.org/officeDocument/2006/relationships/hyperlink" Target="https://legislation.nimonikapp.com/legislations/398938/legislation_texts" TargetMode="External"/><Relationship Id="rId574" Type="http://schemas.openxmlformats.org/officeDocument/2006/relationships/hyperlink" Target="https://www.tssa.org/en/fuels/resources/Documents/Code-Adoption-Document---Oil-Updated-Contact-Numbers.pdf" TargetMode="External"/><Relationship Id="rId1167" Type="http://schemas.openxmlformats.org/officeDocument/2006/relationships/hyperlink" Target="http://www.gazette.gc.ca/rp-pr/p1/2020/2020-08-29/html/reg2-fra.html" TargetMode="External"/><Relationship Id="rId573" Type="http://schemas.openxmlformats.org/officeDocument/2006/relationships/hyperlink" Target="https://legislation.nimonikapp.com/legislations/12139/legislation_texts" TargetMode="External"/><Relationship Id="rId1168" Type="http://schemas.openxmlformats.org/officeDocument/2006/relationships/hyperlink" Target="http://www.gazette.gc.ca/rp-pr/p1/2020/2020-08-29/pdf/g1-15435.pdf" TargetMode="External"/><Relationship Id="rId129" Type="http://schemas.openxmlformats.org/officeDocument/2006/relationships/hyperlink" Target="https://canlii.org/en/nl/laws/regu/nlr-20-97/latest/nlr-20-97.html" TargetMode="External"/><Relationship Id="rId128" Type="http://schemas.openxmlformats.org/officeDocument/2006/relationships/hyperlink" Target="https://canlii.org/en/nl/laws/regu/nlr-16-97/latest/nlr-16-97.html" TargetMode="External"/><Relationship Id="rId127" Type="http://schemas.openxmlformats.org/officeDocument/2006/relationships/hyperlink" Target="https://legislation.nimonikapp.com/legislations/1539/legislation_texts" TargetMode="External"/><Relationship Id="rId126" Type="http://schemas.openxmlformats.org/officeDocument/2006/relationships/hyperlink" Target="https://canlii.org/en/nl/laws/regu/nlr-120-09/latest/nlr-120-09.html" TargetMode="External"/><Relationship Id="rId1190" Type="http://schemas.openxmlformats.org/officeDocument/2006/relationships/hyperlink" Target="https://www.alberta.ca/release.cfm?xID=7453839D1E00E-BF57-7D73-26FA912B970B113E" TargetMode="External"/><Relationship Id="rId1191" Type="http://schemas.openxmlformats.org/officeDocument/2006/relationships/hyperlink" Target="https://legislation.nimonikapp.com/legislations/405022/legislation_texts" TargetMode="External"/><Relationship Id="rId1192" Type="http://schemas.openxmlformats.org/officeDocument/2006/relationships/hyperlink" Target="http://canlii.ca/t/b594" TargetMode="External"/><Relationship Id="rId1193" Type="http://schemas.openxmlformats.org/officeDocument/2006/relationships/hyperlink" Target="http://www.gazette.gc.ca/rp-pr/p2/2020/2020-11-11/html/sor-dors233-eng.html" TargetMode="External"/><Relationship Id="rId121" Type="http://schemas.openxmlformats.org/officeDocument/2006/relationships/hyperlink" Target="https://legislation.nimonikapp.com/legislations/1536/legislation_texts" TargetMode="External"/><Relationship Id="rId1194" Type="http://schemas.openxmlformats.org/officeDocument/2006/relationships/hyperlink" Target="http://www.gazette.gc.ca/rp-pr/p2/2020/2020-11-11/pdf/g2-15423.pdf" TargetMode="External"/><Relationship Id="rId120" Type="http://schemas.openxmlformats.org/officeDocument/2006/relationships/hyperlink" Target="https://canlii.org/en/nl/laws/regu/cnlr-1150-96/latest/cnlr-1150-96.html" TargetMode="External"/><Relationship Id="rId1195" Type="http://schemas.openxmlformats.org/officeDocument/2006/relationships/hyperlink" Target="https://legislation.nimonikapp.com/legislations/405023/legislation_texts" TargetMode="External"/><Relationship Id="rId1196" Type="http://schemas.openxmlformats.org/officeDocument/2006/relationships/hyperlink" Target="http://canlii.ca/t/fvdg" TargetMode="External"/><Relationship Id="rId1197" Type="http://schemas.openxmlformats.org/officeDocument/2006/relationships/hyperlink" Target="http://www.gazette.gc.ca/rp-pr/p2/2020/2020-11-11/html/sor-dors233-fra.html" TargetMode="External"/><Relationship Id="rId125" Type="http://schemas.openxmlformats.org/officeDocument/2006/relationships/hyperlink" Target="https://legislation.nimonikapp.com/legislations/1538/legislation_texts" TargetMode="External"/><Relationship Id="rId1198" Type="http://schemas.openxmlformats.org/officeDocument/2006/relationships/hyperlink" Target="http://www.gazette.gc.ca/rp-pr/p2/2020/2020-11-11/pdf/g2-15423.pdf" TargetMode="External"/><Relationship Id="rId124" Type="http://schemas.openxmlformats.org/officeDocument/2006/relationships/hyperlink" Target="https://canlii.org/en/nl/laws/regu/cnlr-1-96/latest/cnlr-1-96.html" TargetMode="External"/><Relationship Id="rId1199" Type="http://schemas.openxmlformats.org/officeDocument/2006/relationships/hyperlink" Target="https://legislation.nimonikapp.com/legislations/405024/legislation_texts" TargetMode="External"/><Relationship Id="rId123" Type="http://schemas.openxmlformats.org/officeDocument/2006/relationships/hyperlink" Target="https://legislation.nimonikapp.com/legislations/1537/legislation_texts" TargetMode="External"/><Relationship Id="rId122" Type="http://schemas.openxmlformats.org/officeDocument/2006/relationships/hyperlink" Target="https://canlii.org/en/nl/laws/regu/cnlr-771-96/latest/cnlr-771-96.html" TargetMode="External"/><Relationship Id="rId118" Type="http://schemas.openxmlformats.org/officeDocument/2006/relationships/hyperlink" Target="https://www.canlii.org/en/on/laws/regu/o-reg-160-99/latest/o-reg-160-99.html" TargetMode="External"/><Relationship Id="rId117" Type="http://schemas.openxmlformats.org/officeDocument/2006/relationships/hyperlink" Target="https://legislation.nimonikapp.com/legislations/1521/legislation_texts" TargetMode="External"/><Relationship Id="rId116" Type="http://schemas.openxmlformats.org/officeDocument/2006/relationships/hyperlink" Target="https://canlii.ca/t/cq3w" TargetMode="External"/><Relationship Id="rId115" Type="http://schemas.openxmlformats.org/officeDocument/2006/relationships/hyperlink" Target="https://legislation.nimonikapp.com/legislations/172614/legislation_texts" TargetMode="External"/><Relationship Id="rId599" Type="http://schemas.openxmlformats.org/officeDocument/2006/relationships/hyperlink" Target="https://legislation.nimonikapp.com/legislations/163315/legislation_texts" TargetMode="External"/><Relationship Id="rId1180" Type="http://schemas.openxmlformats.org/officeDocument/2006/relationships/hyperlink" Target="http://canlii.ca/t/96lq" TargetMode="External"/><Relationship Id="rId1181" Type="http://schemas.openxmlformats.org/officeDocument/2006/relationships/hyperlink" Target="https://www.qp.alberta.ca/documents/gazette/2019/pdf/14_Jul31_Part2.pdf" TargetMode="External"/><Relationship Id="rId119" Type="http://schemas.openxmlformats.org/officeDocument/2006/relationships/hyperlink" Target="https://legislation.nimonikapp.com/legislations/1535/legislation_texts" TargetMode="External"/><Relationship Id="rId1182" Type="http://schemas.openxmlformats.org/officeDocument/2006/relationships/hyperlink" Target="https://legislation.nimonikapp.com/legislations/401700/legislation_texts" TargetMode="External"/><Relationship Id="rId110" Type="http://schemas.openxmlformats.org/officeDocument/2006/relationships/hyperlink" Target="https://www.gov.nl.ca/mae/files/env-protection-ics-guidance-document-for-the-management-of-impacted-sites-v2.0-feb-6-2014.pdf" TargetMode="External"/><Relationship Id="rId594" Type="http://schemas.openxmlformats.org/officeDocument/2006/relationships/hyperlink" Target="https://static.aer.ca/prd/documents/directives/Directive008_0.pdf" TargetMode="External"/><Relationship Id="rId1183" Type="http://schemas.openxmlformats.org/officeDocument/2006/relationships/hyperlink" Target="http://www.gazette.gc.ca/rp-pr/p1/2020/2020-10-10/html/reg5-eng.html" TargetMode="External"/><Relationship Id="rId593" Type="http://schemas.openxmlformats.org/officeDocument/2006/relationships/hyperlink" Target="https://legislation.nimonikapp.com/legislations/163312/legislation_texts" TargetMode="External"/><Relationship Id="rId1184" Type="http://schemas.openxmlformats.org/officeDocument/2006/relationships/hyperlink" Target="http://www.gazette.gc.ca/rp-pr/p1/2020/2020-10-10/pdf/g1-15441.pdf" TargetMode="External"/><Relationship Id="rId592" Type="http://schemas.openxmlformats.org/officeDocument/2006/relationships/hyperlink" Target="https://static.aer.ca/prd/documents/directives/Directive075.pdf" TargetMode="External"/><Relationship Id="rId1185" Type="http://schemas.openxmlformats.org/officeDocument/2006/relationships/hyperlink" Target="https://legislation.nimonikapp.com/legislations/401701/legislation_texts" TargetMode="External"/><Relationship Id="rId591" Type="http://schemas.openxmlformats.org/officeDocument/2006/relationships/hyperlink" Target="https://legislation.nimonikapp.com/legislations/163311/legislation_texts" TargetMode="External"/><Relationship Id="rId1186" Type="http://schemas.openxmlformats.org/officeDocument/2006/relationships/hyperlink" Target="http://www.gazette.gc.ca/rp-pr/p1/2020/2020-10-10/html/reg5-fra.html" TargetMode="External"/><Relationship Id="rId114" Type="http://schemas.openxmlformats.org/officeDocument/2006/relationships/hyperlink" Target="https://www.canlii.org/en/ca/laws/regu/sor-2008-275/latest/sor-2008-275.html" TargetMode="External"/><Relationship Id="rId598" Type="http://schemas.openxmlformats.org/officeDocument/2006/relationships/hyperlink" Target="https://static.aer.ca/prd/documents/directives/Directive009.pdf" TargetMode="External"/><Relationship Id="rId1187" Type="http://schemas.openxmlformats.org/officeDocument/2006/relationships/hyperlink" Target="http://www.gazette.gc.ca/rp-pr/p1/2020/2020-10-10/pdf/g1-15441.pdf" TargetMode="External"/><Relationship Id="rId113" Type="http://schemas.openxmlformats.org/officeDocument/2006/relationships/hyperlink" Target="https://legislation.nimonikapp.com/legislations/1482/legislation_texts" TargetMode="External"/><Relationship Id="rId597" Type="http://schemas.openxmlformats.org/officeDocument/2006/relationships/hyperlink" Target="https://legislation.nimonikapp.com/legislations/163314/legislation_texts" TargetMode="External"/><Relationship Id="rId1188" Type="http://schemas.openxmlformats.org/officeDocument/2006/relationships/hyperlink" Target="https://reg.gov.mb.ca/detail/3340256" TargetMode="External"/><Relationship Id="rId112" Type="http://schemas.openxmlformats.org/officeDocument/2006/relationships/hyperlink" Target="https://www.gov.nl.ca/mae/files/env-protection-ics-guidance-document-for-the-management-of-impacted-sites-v2.0-feb-6-2014.pdf" TargetMode="External"/><Relationship Id="rId596" Type="http://schemas.openxmlformats.org/officeDocument/2006/relationships/hyperlink" Target="https://static.aer.ca/prd/documents/directives/Directive083.pdf" TargetMode="External"/><Relationship Id="rId1189" Type="http://schemas.openxmlformats.org/officeDocument/2006/relationships/hyperlink" Target="https://legislation.nimonikapp.com/legislations/404047/legislation_texts" TargetMode="External"/><Relationship Id="rId111" Type="http://schemas.openxmlformats.org/officeDocument/2006/relationships/hyperlink" Target="https://legislation.nimonikapp.com/legislations/1460/legislation_texts" TargetMode="External"/><Relationship Id="rId595" Type="http://schemas.openxmlformats.org/officeDocument/2006/relationships/hyperlink" Target="https://legislation.nimonikapp.com/legislations/163313/legislation_texts" TargetMode="External"/><Relationship Id="rId1136" Type="http://schemas.openxmlformats.org/officeDocument/2006/relationships/hyperlink" Target="https://legislation.nimonikapp.com/legislations/248586/legislation_texts" TargetMode="External"/><Relationship Id="rId1137" Type="http://schemas.openxmlformats.org/officeDocument/2006/relationships/hyperlink" Target="https://www.aer.ca/documents/actregs/JointOperatingProcedures.pdf" TargetMode="External"/><Relationship Id="rId1138" Type="http://schemas.openxmlformats.org/officeDocument/2006/relationships/hyperlink" Target="https://www.aer.ca/protecting-what-matters/giving-albertans-a-voice/indigenous-engagement/aboriginal-consultations.html" TargetMode="External"/><Relationship Id="rId1139" Type="http://schemas.openxmlformats.org/officeDocument/2006/relationships/hyperlink" Target="https://legislation.nimonikapp.com/legislations/249039/legislation_texts" TargetMode="External"/><Relationship Id="rId547" Type="http://schemas.openxmlformats.org/officeDocument/2006/relationships/hyperlink" Target="https://canlii.ca/t/8wnq" TargetMode="External"/><Relationship Id="rId546" Type="http://schemas.openxmlformats.org/officeDocument/2006/relationships/hyperlink" Target="https://legislation.nimonikapp.com/legislations/7317/legislation_texts" TargetMode="External"/><Relationship Id="rId545" Type="http://schemas.openxmlformats.org/officeDocument/2006/relationships/hyperlink" Target="https://canlii.ca/t/8hxd" TargetMode="External"/><Relationship Id="rId544" Type="http://schemas.openxmlformats.org/officeDocument/2006/relationships/hyperlink" Target="https://legislation.nimonikapp.com/legislations/6951/legislation_texts" TargetMode="External"/><Relationship Id="rId549" Type="http://schemas.openxmlformats.org/officeDocument/2006/relationships/hyperlink" Target="https://store.csagroup.org/ccrz__ProductDetails?viewState=DetailView&amp;cartID=&amp;sku=CAN/CSA-Z246.1-13&amp;isCSRFlow=true&amp;portalUser=&amp;store=&amp;cclcl=fr_CA" TargetMode="External"/><Relationship Id="rId548" Type="http://schemas.openxmlformats.org/officeDocument/2006/relationships/hyperlink" Target="https://store.csagroup.org/ccrz__ProductDetails?viewState=DetailView&amp;cartID=&amp;sku=CAN/CSA-Z246.1-13&amp;isCSRFlow=true&amp;portalUser=&amp;store=&amp;cclcl=en_US" TargetMode="External"/><Relationship Id="rId1130" Type="http://schemas.openxmlformats.org/officeDocument/2006/relationships/hyperlink" Target="https://legislation.nimonikapp.com/legislations/246937/legislation_texts" TargetMode="External"/><Relationship Id="rId1131" Type="http://schemas.openxmlformats.org/officeDocument/2006/relationships/hyperlink" Target="http://www.gazette.gc.ca/rp-pr/p1/2020/2020-05-16/html/reg1-eng.html" TargetMode="External"/><Relationship Id="rId543" Type="http://schemas.openxmlformats.org/officeDocument/2006/relationships/hyperlink" Target="https://canlii.ca/t/8h8x" TargetMode="External"/><Relationship Id="rId1132" Type="http://schemas.openxmlformats.org/officeDocument/2006/relationships/hyperlink" Target="http://www.gazette.gc.ca/rp-pr/p1/2020/2020-05-16/pdf/g1-15420.pdf" TargetMode="External"/><Relationship Id="rId542" Type="http://schemas.openxmlformats.org/officeDocument/2006/relationships/hyperlink" Target="https://legislation.nimonikapp.com/legislations/6945/legislation_texts" TargetMode="External"/><Relationship Id="rId1133" Type="http://schemas.openxmlformats.org/officeDocument/2006/relationships/hyperlink" Target="https://legislation.nimonikapp.com/legislations/246938/legislation_texts" TargetMode="External"/><Relationship Id="rId541" Type="http://schemas.openxmlformats.org/officeDocument/2006/relationships/hyperlink" Target="https://canlii.ca/t/8tvv" TargetMode="External"/><Relationship Id="rId1134" Type="http://schemas.openxmlformats.org/officeDocument/2006/relationships/hyperlink" Target="http://www.gazette.gc.ca/rp-pr/p1/2020/2020-05-16/html/reg1-fra.html" TargetMode="External"/><Relationship Id="rId540" Type="http://schemas.openxmlformats.org/officeDocument/2006/relationships/hyperlink" Target="https://canlii.ca/t/835d" TargetMode="External"/><Relationship Id="rId1135" Type="http://schemas.openxmlformats.org/officeDocument/2006/relationships/hyperlink" Target="http://www.gazette.gc.ca/rp-pr/p1/2020/2020-05-16/pdf/g1-15420.pdf" TargetMode="External"/><Relationship Id="rId1125" Type="http://schemas.openxmlformats.org/officeDocument/2006/relationships/hyperlink" Target="https://nimonikapp.com/document_not_available.html" TargetMode="External"/><Relationship Id="rId1126" Type="http://schemas.openxmlformats.org/officeDocument/2006/relationships/hyperlink" Target="https://legislation.nimonikapp.com/legislations/246801/legislation_texts" TargetMode="External"/><Relationship Id="rId1127" Type="http://schemas.openxmlformats.org/officeDocument/2006/relationships/hyperlink" Target="https://www2.gov.bc.ca/assets/gov/health/about-bc-s-health-care-system/office-of-the-provincial-health-officer/covid-19/covid-19-pho-guidance-natural-resource-sector-work-camps.pdf" TargetMode="External"/><Relationship Id="rId1128" Type="http://schemas.openxmlformats.org/officeDocument/2006/relationships/hyperlink" Target="https://legislation.nimonikapp.com/legislations/246935/legislation_texts" TargetMode="External"/><Relationship Id="rId1129" Type="http://schemas.openxmlformats.org/officeDocument/2006/relationships/hyperlink" Target="https://www.alberta.ca/release.cfm?xID=713366C8E89CA-0099-7CA4-A296674CCD258117" TargetMode="External"/><Relationship Id="rId536" Type="http://schemas.openxmlformats.org/officeDocument/2006/relationships/hyperlink" Target="https://legislation.nimonikapp.com/legislations/4791/legislation_texts" TargetMode="External"/><Relationship Id="rId535" Type="http://schemas.openxmlformats.org/officeDocument/2006/relationships/hyperlink" Target="https://canlii.ca/t/cp00" TargetMode="External"/><Relationship Id="rId534" Type="http://schemas.openxmlformats.org/officeDocument/2006/relationships/hyperlink" Target="https://legislation.nimonikapp.com/legislations/174429/legislation_texts" TargetMode="External"/><Relationship Id="rId533" Type="http://schemas.openxmlformats.org/officeDocument/2006/relationships/hyperlink" Target="https://canlii.ca/t/7zvn" TargetMode="External"/><Relationship Id="rId539" Type="http://schemas.openxmlformats.org/officeDocument/2006/relationships/hyperlink" Target="https://canlii.ca/t/cp01" TargetMode="External"/><Relationship Id="rId538" Type="http://schemas.openxmlformats.org/officeDocument/2006/relationships/hyperlink" Target="https://legislation.nimonikapp.com/legislations/174428/legislation_texts" TargetMode="External"/><Relationship Id="rId537" Type="http://schemas.openxmlformats.org/officeDocument/2006/relationships/hyperlink" Target="https://canlii.ca/t/7zvp" TargetMode="External"/><Relationship Id="rId1120" Type="http://schemas.openxmlformats.org/officeDocument/2006/relationships/hyperlink" Target="http://gazette.gc.ca/rp-pr/p2/2020/2020-04-15/html/sor-dors60-fra.html" TargetMode="External"/><Relationship Id="rId532" Type="http://schemas.openxmlformats.org/officeDocument/2006/relationships/hyperlink" Target="https://legislation.nimonikapp.com/legislations/4767/legislation_texts" TargetMode="External"/><Relationship Id="rId1121" Type="http://schemas.openxmlformats.org/officeDocument/2006/relationships/hyperlink" Target="http://gazette.gc.ca/rp-pr/p2/2020/2020-04-15/pdf/g2-15408.pdf" TargetMode="External"/><Relationship Id="rId531" Type="http://schemas.openxmlformats.org/officeDocument/2006/relationships/hyperlink" Target="https://canlii.ca/t/8ssx" TargetMode="External"/><Relationship Id="rId1122" Type="http://schemas.openxmlformats.org/officeDocument/2006/relationships/hyperlink" Target="https://legislation.nimonikapp.com/legislations/245351/legislation_texts" TargetMode="External"/><Relationship Id="rId530" Type="http://schemas.openxmlformats.org/officeDocument/2006/relationships/hyperlink" Target="https://legislation.nimonikapp.com/legislations/4738/legislation_texts" TargetMode="External"/><Relationship Id="rId1123" Type="http://schemas.openxmlformats.org/officeDocument/2006/relationships/hyperlink" Target="https://nimonikapp.com/document_not_available.html" TargetMode="External"/><Relationship Id="rId1124" Type="http://schemas.openxmlformats.org/officeDocument/2006/relationships/hyperlink" Target="https://nimonikapp.com/document_not_available.html" TargetMode="External"/><Relationship Id="rId1158" Type="http://schemas.openxmlformats.org/officeDocument/2006/relationships/hyperlink" Target="http://www.bccdc.ca/Health-Info-Site/Documents/COVID_public_guidance/All-sector-work-camps-guidance.pdf" TargetMode="External"/><Relationship Id="rId1159" Type="http://schemas.openxmlformats.org/officeDocument/2006/relationships/hyperlink" Target="https://www2.gov.bc.ca/gov/content/health/about-bc-s-health-care-system/office-of-the-provincial-health-officer/current-health-topics/covid-19-novel-coronavirus" TargetMode="External"/><Relationship Id="rId569" Type="http://schemas.openxmlformats.org/officeDocument/2006/relationships/hyperlink" Target="https://legislation.nimonikapp.com/legislations/174453/legislation_texts" TargetMode="External"/><Relationship Id="rId568" Type="http://schemas.openxmlformats.org/officeDocument/2006/relationships/hyperlink" Target="https://canlii.ca/t/7xxv" TargetMode="External"/><Relationship Id="rId567" Type="http://schemas.openxmlformats.org/officeDocument/2006/relationships/hyperlink" Target="https://legislation.nimonikapp.com/legislations/12011/legislation_texts" TargetMode="External"/><Relationship Id="rId566" Type="http://schemas.openxmlformats.org/officeDocument/2006/relationships/hyperlink" Target="https://canlii.ca/t/902c" TargetMode="External"/><Relationship Id="rId561" Type="http://schemas.openxmlformats.org/officeDocument/2006/relationships/hyperlink" Target="https://legislation.nimonikapp.com/legislations/10372/legislation_texts" TargetMode="External"/><Relationship Id="rId1150" Type="http://schemas.openxmlformats.org/officeDocument/2006/relationships/hyperlink" Target="http://www.gazette.gc.ca/rp-pr/p1/2020/2020-06-06/pdf/g1-15423.pdf" TargetMode="External"/><Relationship Id="rId560" Type="http://schemas.openxmlformats.org/officeDocument/2006/relationships/hyperlink" Target="https://static.aer.ca/prd/documents/directives/Directive085.pdf" TargetMode="External"/><Relationship Id="rId1151" Type="http://schemas.openxmlformats.org/officeDocument/2006/relationships/hyperlink" Target="https://legislation.nimonikapp.com/legislations/249853/legislation_texts" TargetMode="External"/><Relationship Id="rId1152" Type="http://schemas.openxmlformats.org/officeDocument/2006/relationships/hyperlink" Target="https://ero.ontario.ca/notice/019-1926" TargetMode="External"/><Relationship Id="rId1153" Type="http://schemas.openxmlformats.org/officeDocument/2006/relationships/hyperlink" Target="https://legislation.nimonikapp.com/legislations/251555/legislation_texts" TargetMode="External"/><Relationship Id="rId565" Type="http://schemas.openxmlformats.org/officeDocument/2006/relationships/hyperlink" Target="https://legislation.nimonikapp.com/legislations/10426/legislation_texts" TargetMode="External"/><Relationship Id="rId1154" Type="http://schemas.openxmlformats.org/officeDocument/2006/relationships/hyperlink" Target="http://canlii.ca/t/9q8l" TargetMode="External"/><Relationship Id="rId564" Type="http://schemas.openxmlformats.org/officeDocument/2006/relationships/hyperlink" Target="https://canlii.ca/t/9048" TargetMode="External"/><Relationship Id="rId1155" Type="http://schemas.openxmlformats.org/officeDocument/2006/relationships/hyperlink" Target="https://legislation.nimonikapp.com/legislations/393615/legislation_texts" TargetMode="External"/><Relationship Id="rId563" Type="http://schemas.openxmlformats.org/officeDocument/2006/relationships/hyperlink" Target="https://legislation.nimonikapp.com/legislations/10425/legislation_texts" TargetMode="External"/><Relationship Id="rId1156" Type="http://schemas.openxmlformats.org/officeDocument/2006/relationships/hyperlink" Target="https://www.alberta.ca/release.cfm?xID=72928417D69DB-F217-3A72-879326E24DAF392D" TargetMode="External"/><Relationship Id="rId562" Type="http://schemas.openxmlformats.org/officeDocument/2006/relationships/hyperlink" Target="https://static.aer.ca/prd/documents/directives/Directive084.pdf" TargetMode="External"/><Relationship Id="rId1157" Type="http://schemas.openxmlformats.org/officeDocument/2006/relationships/hyperlink" Target="https://legislation.nimonikapp.com/legislations/397426/legislation_texts" TargetMode="External"/><Relationship Id="rId1147" Type="http://schemas.openxmlformats.org/officeDocument/2006/relationships/hyperlink" Target="http://www.gazette.gc.ca/rp-pr/p1/2020/2020-06-06/pdf/g1-15423.pdf" TargetMode="External"/><Relationship Id="rId1148" Type="http://schemas.openxmlformats.org/officeDocument/2006/relationships/hyperlink" Target="https://legislation.nimonikapp.com/legislations/249042/legislation_texts" TargetMode="External"/><Relationship Id="rId1149" Type="http://schemas.openxmlformats.org/officeDocument/2006/relationships/hyperlink" Target="http://www.gazette.gc.ca/rp-pr/p1/2020/2020-06-06/html/reg1-fra.html" TargetMode="External"/><Relationship Id="rId558" Type="http://schemas.openxmlformats.org/officeDocument/2006/relationships/hyperlink" Target="https://static.aer.ca/prd/documents/directives/Directive086.pdf" TargetMode="External"/><Relationship Id="rId557" Type="http://schemas.openxmlformats.org/officeDocument/2006/relationships/hyperlink" Target="https://legislation.nimonikapp.com/legislations/9557/legislation_texts" TargetMode="External"/><Relationship Id="rId556" Type="http://schemas.openxmlformats.org/officeDocument/2006/relationships/hyperlink" Target="https://canlii.ca/t/8gp7" TargetMode="External"/><Relationship Id="rId555" Type="http://schemas.openxmlformats.org/officeDocument/2006/relationships/hyperlink" Target="https://legislation.nimonikapp.com/legislations/9541/legislation_texts" TargetMode="External"/><Relationship Id="rId559" Type="http://schemas.openxmlformats.org/officeDocument/2006/relationships/hyperlink" Target="https://legislation.nimonikapp.com/legislations/9558/legislation_texts" TargetMode="External"/><Relationship Id="rId550" Type="http://schemas.openxmlformats.org/officeDocument/2006/relationships/hyperlink" Target="https://legislation.nimonikapp.com/legislations/8948/legislation_texts" TargetMode="External"/><Relationship Id="rId1140" Type="http://schemas.openxmlformats.org/officeDocument/2006/relationships/hyperlink" Target="http://www.gazette.gc.ca/rp-pr/p1/2020/2020-06-06/html/notice-avis-eng.html" TargetMode="External"/><Relationship Id="rId1141" Type="http://schemas.openxmlformats.org/officeDocument/2006/relationships/hyperlink" Target="http://www.gazette.gc.ca/rp-pr/p1/2020/2020-06-06/pdf/g1-15423.pdf" TargetMode="External"/><Relationship Id="rId1142" Type="http://schemas.openxmlformats.org/officeDocument/2006/relationships/hyperlink" Target="https://legislation.nimonikapp.com/legislations/249040/legislation_texts" TargetMode="External"/><Relationship Id="rId554" Type="http://schemas.openxmlformats.org/officeDocument/2006/relationships/hyperlink" Target="https://canlii.ca/t/8zpx" TargetMode="External"/><Relationship Id="rId1143" Type="http://schemas.openxmlformats.org/officeDocument/2006/relationships/hyperlink" Target="http://www.gazette.gc.ca/rp-pr/p1/2020/2020-06-06/html/notice-avis-fra.html" TargetMode="External"/><Relationship Id="rId553" Type="http://schemas.openxmlformats.org/officeDocument/2006/relationships/hyperlink" Target="https://legislation.nimonikapp.com/legislations/9492/legislation_texts" TargetMode="External"/><Relationship Id="rId1144" Type="http://schemas.openxmlformats.org/officeDocument/2006/relationships/hyperlink" Target="http://www.gazette.gc.ca/rp-pr/p1/2020/2020-06-06/pdf/g1-15423.pdf" TargetMode="External"/><Relationship Id="rId552" Type="http://schemas.openxmlformats.org/officeDocument/2006/relationships/hyperlink" Target="https://www.aer.ca/documents/actregs/AER_InterimRegulatoryGuide.pdf.pdf" TargetMode="External"/><Relationship Id="rId1145" Type="http://schemas.openxmlformats.org/officeDocument/2006/relationships/hyperlink" Target="https://legislation.nimonikapp.com/legislations/249041/legislation_texts" TargetMode="External"/><Relationship Id="rId551" Type="http://schemas.openxmlformats.org/officeDocument/2006/relationships/hyperlink" Target="https://canlii.ca/t/8zbl" TargetMode="External"/><Relationship Id="rId1146" Type="http://schemas.openxmlformats.org/officeDocument/2006/relationships/hyperlink" Target="http://www.gazette.gc.ca/rp-pr/p1/2020/2020-06-06/html/reg1-eng.html" TargetMode="External"/><Relationship Id="rId495" Type="http://schemas.openxmlformats.org/officeDocument/2006/relationships/hyperlink" Target="https://legislation.nimonikapp.com/legislations/4656/legislation_texts" TargetMode="External"/><Relationship Id="rId494" Type="http://schemas.openxmlformats.org/officeDocument/2006/relationships/hyperlink" Target="https://open.alberta.ca/dataset/842becf6-dc0c-4cc7-8b29-e3f383133ddc/resource/1b851705-0622-485d-beee-752a627bdfc4/download/2016-albertatier1guidelines-feb02-2016a.pdf" TargetMode="External"/><Relationship Id="rId493" Type="http://schemas.openxmlformats.org/officeDocument/2006/relationships/hyperlink" Target="https://legislation.nimonikapp.com/legislations/4655/legislation_texts" TargetMode="External"/><Relationship Id="rId492" Type="http://schemas.openxmlformats.org/officeDocument/2006/relationships/hyperlink" Target="https://canlii.ca/t/8s96" TargetMode="External"/><Relationship Id="rId499" Type="http://schemas.openxmlformats.org/officeDocument/2006/relationships/hyperlink" Target="https://legislation.nimonikapp.com/legislations/4658/legislation_texts" TargetMode="External"/><Relationship Id="rId498" Type="http://schemas.openxmlformats.org/officeDocument/2006/relationships/hyperlink" Target="https://open.alberta.ca/dataset/86aaa9de-2ed6-426d-83ba-77b97bb6cae3/resource/da765acd-e31a-4f9c-9f49-ad9e3e72249d/download/enviroprotectionpits-il-1996.pdf" TargetMode="External"/><Relationship Id="rId497" Type="http://schemas.openxmlformats.org/officeDocument/2006/relationships/hyperlink" Target="https://legislation.nimonikapp.com/legislations/4657/legislation_texts" TargetMode="External"/><Relationship Id="rId496" Type="http://schemas.openxmlformats.org/officeDocument/2006/relationships/hyperlink" Target="https://open.alberta.ca/dataset/aa212afe-2916-4be9-8094-42708c950313/resource/5176235d-a73e-4293-afb6-b67cc02b9dce/download/2016-albertatier2guidelines-feb02-2016c.pdf" TargetMode="External"/><Relationship Id="rId1610" Type="http://schemas.openxmlformats.org/officeDocument/2006/relationships/hyperlink" Target="https://legislation.nimonikapp.com/legislations/520723/legislation_texts" TargetMode="External"/><Relationship Id="rId1611" Type="http://schemas.openxmlformats.org/officeDocument/2006/relationships/hyperlink" Target="https://canlii.ca/t/87jk" TargetMode="External"/><Relationship Id="rId1612" Type="http://schemas.openxmlformats.org/officeDocument/2006/relationships/hyperlink" Target="https://nslegislature.ca/sites/default/files/legc/statutes/petrolrp.htm" TargetMode="External"/><Relationship Id="rId1613" Type="http://schemas.openxmlformats.org/officeDocument/2006/relationships/hyperlink" Target="https://legislation.nimonikapp.com/legislations/520759/legislation_texts" TargetMode="External"/><Relationship Id="rId1614" Type="http://schemas.openxmlformats.org/officeDocument/2006/relationships/hyperlink" Target="https://canlii.ca/t/86ks" TargetMode="External"/><Relationship Id="rId1615" Type="http://schemas.openxmlformats.org/officeDocument/2006/relationships/hyperlink" Target="https://legislation.nimonikapp.com/legislations/520773/legislation_texts" TargetMode="External"/><Relationship Id="rId1616" Type="http://schemas.openxmlformats.org/officeDocument/2006/relationships/hyperlink" Target="https://canlii.ca/t/86hv" TargetMode="External"/><Relationship Id="rId907" Type="http://schemas.openxmlformats.org/officeDocument/2006/relationships/hyperlink" Target="http://canlii.ca/t/f6jz" TargetMode="External"/><Relationship Id="rId1617" Type="http://schemas.openxmlformats.org/officeDocument/2006/relationships/hyperlink" Target="https://novascotia.ca/just/regulations/regs/aanatgas.htm" TargetMode="External"/><Relationship Id="rId906" Type="http://schemas.openxmlformats.org/officeDocument/2006/relationships/hyperlink" Target="https://www.parl.ca/DocumentViewer/en/42-1/bill/C-69/royal-assent" TargetMode="External"/><Relationship Id="rId1618" Type="http://schemas.openxmlformats.org/officeDocument/2006/relationships/hyperlink" Target="https://legislation.nimonikapp.com/legislations/520797/legislation_texts" TargetMode="External"/><Relationship Id="rId905" Type="http://schemas.openxmlformats.org/officeDocument/2006/relationships/hyperlink" Target="http://canlii.ca/t/9hfm" TargetMode="External"/><Relationship Id="rId1619" Type="http://schemas.openxmlformats.org/officeDocument/2006/relationships/hyperlink" Target="https://canlii.ca/t/86jx" TargetMode="External"/><Relationship Id="rId904" Type="http://schemas.openxmlformats.org/officeDocument/2006/relationships/hyperlink" Target="https://legislation.nimonikapp.com/legislations/213513/legislation_texts" TargetMode="External"/><Relationship Id="rId909" Type="http://schemas.openxmlformats.org/officeDocument/2006/relationships/hyperlink" Target="https://legislation.nimonikapp.com/legislations/213535/legislation_texts" TargetMode="External"/><Relationship Id="rId908" Type="http://schemas.openxmlformats.org/officeDocument/2006/relationships/hyperlink" Target="https://www.parl.ca/DocumentViewer/fr/42-1/projet-loi/C-69/sanction-royal" TargetMode="External"/><Relationship Id="rId903" Type="http://schemas.openxmlformats.org/officeDocument/2006/relationships/hyperlink" Target="https://www.parl.ca/DocumentViewer/fr/42-1/projet-loi/C-48/sanction-royal" TargetMode="External"/><Relationship Id="rId902" Type="http://schemas.openxmlformats.org/officeDocument/2006/relationships/hyperlink" Target="http://canlii.ca/t/f6k8" TargetMode="External"/><Relationship Id="rId901" Type="http://schemas.openxmlformats.org/officeDocument/2006/relationships/hyperlink" Target="https://legislation.nimonikapp.com/legislations/213510/legislation_texts" TargetMode="External"/><Relationship Id="rId900" Type="http://schemas.openxmlformats.org/officeDocument/2006/relationships/hyperlink" Target="https://www.parl.ca/DocumentViewer/en/42-1/bill/C-48/royal-assent" TargetMode="External"/><Relationship Id="rId1600" Type="http://schemas.openxmlformats.org/officeDocument/2006/relationships/hyperlink" Target="https://novascotia.ca/just/regulations/regs/coprfinrequire.htm" TargetMode="External"/><Relationship Id="rId1601" Type="http://schemas.openxmlformats.org/officeDocument/2006/relationships/hyperlink" Target="https://legislation.nimonikapp.com/legislations/518359/legislation_texts" TargetMode="External"/><Relationship Id="rId1602" Type="http://schemas.openxmlformats.org/officeDocument/2006/relationships/hyperlink" Target="https://canlii.ca/t/8v40" TargetMode="External"/><Relationship Id="rId1603" Type="http://schemas.openxmlformats.org/officeDocument/2006/relationships/hyperlink" Target="https://novascotia.ca/just/regulations/regs/coprcrownshare.htm" TargetMode="External"/><Relationship Id="rId1604" Type="http://schemas.openxmlformats.org/officeDocument/2006/relationships/hyperlink" Target="https://legislation.nimonikapp.com/legislations/518572/legislation_texts" TargetMode="External"/><Relationship Id="rId1605" Type="http://schemas.openxmlformats.org/officeDocument/2006/relationships/hyperlink" Target="https://canlii.ca/t/86k5" TargetMode="External"/><Relationship Id="rId1606" Type="http://schemas.openxmlformats.org/officeDocument/2006/relationships/hyperlink" Target="https://novascotia.ca/just/regulations/regs/oprregs.htm" TargetMode="External"/><Relationship Id="rId1607" Type="http://schemas.openxmlformats.org/officeDocument/2006/relationships/hyperlink" Target="https://legislation.nimonikapp.com/legislations/520714/legislation_texts" TargetMode="External"/><Relationship Id="rId1608" Type="http://schemas.openxmlformats.org/officeDocument/2006/relationships/hyperlink" Target="https://canlii.ca/t/87c9" TargetMode="External"/><Relationship Id="rId1609" Type="http://schemas.openxmlformats.org/officeDocument/2006/relationships/hyperlink" Target="https://nslegislature.ca/sites/default/files/legc/statutes/miningco.htm" TargetMode="External"/><Relationship Id="rId1631" Type="http://schemas.openxmlformats.org/officeDocument/2006/relationships/hyperlink" Target="https://novascotia.ca/just/regulations/regs/plbregs.html" TargetMode="External"/><Relationship Id="rId1632" Type="http://schemas.openxmlformats.org/officeDocument/2006/relationships/hyperlink" Target="https://legislation.nimonikapp.com/legislations/520970/legislation_texts" TargetMode="External"/><Relationship Id="rId1633" Type="http://schemas.openxmlformats.org/officeDocument/2006/relationships/hyperlink" Target="https://canlii.ca/t/86km" TargetMode="External"/><Relationship Id="rId1634" Type="http://schemas.openxmlformats.org/officeDocument/2006/relationships/hyperlink" Target="https://novascotia.ca/just/regulations/regs/PRAwithdrawal.htm" TargetMode="External"/><Relationship Id="rId1635" Type="http://schemas.openxmlformats.org/officeDocument/2006/relationships/hyperlink" Target="https://legislation.nimonikapp.com/legislations/520976/legislation_texts" TargetMode="External"/><Relationship Id="rId1636" Type="http://schemas.openxmlformats.org/officeDocument/2006/relationships/hyperlink" Target="https://canlii.ca/t/86jj" TargetMode="External"/><Relationship Id="rId1637" Type="http://schemas.openxmlformats.org/officeDocument/2006/relationships/hyperlink" Target="https://novascotia.ca/just/regulations/regs/pippanuk.htm" TargetMode="External"/><Relationship Id="rId1638" Type="http://schemas.openxmlformats.org/officeDocument/2006/relationships/hyperlink" Target="https://legislation.nimonikapp.com/legislations/520982/legislation_texts" TargetMode="External"/><Relationship Id="rId929" Type="http://schemas.openxmlformats.org/officeDocument/2006/relationships/hyperlink" Target="http://publications.gc.ca/collections/collection_2018/ongc-cgsb/P29-003-023-2018-fra.pdf" TargetMode="External"/><Relationship Id="rId1639" Type="http://schemas.openxmlformats.org/officeDocument/2006/relationships/hyperlink" Target="https://novascotia.ca/just/regulations/regs/pipsable.htm" TargetMode="External"/><Relationship Id="rId928" Type="http://schemas.openxmlformats.org/officeDocument/2006/relationships/hyperlink" Target="http://www.publications.gc.ca/site/fra/9.855729/publication.html" TargetMode="External"/><Relationship Id="rId927" Type="http://schemas.openxmlformats.org/officeDocument/2006/relationships/hyperlink" Target="https://legislation.nimonikapp.com/legislations/216415/legislation_texts" TargetMode="External"/><Relationship Id="rId926" Type="http://schemas.openxmlformats.org/officeDocument/2006/relationships/hyperlink" Target="http://publications.gc.ca/collections/collection_2018/ongc-cgsb/P29-003-023-2018-eng.pdf" TargetMode="External"/><Relationship Id="rId921" Type="http://schemas.openxmlformats.org/officeDocument/2006/relationships/hyperlink" Target="https://store.csagroup.org/ccrz__ProductDetails?viewState=DetailView&amp;cartID=&amp;portalUser=&amp;store=&amp;cclcl=en_US&amp;sku=CSA%20Z662%3A19" TargetMode="External"/><Relationship Id="rId920" Type="http://schemas.openxmlformats.org/officeDocument/2006/relationships/hyperlink" Target="http://www.gazette.gc.ca/rp-pr/p2/2019/2019-07-10/html/sor-dors252-fra.html" TargetMode="External"/><Relationship Id="rId925" Type="http://schemas.openxmlformats.org/officeDocument/2006/relationships/hyperlink" Target="http://www.publications.gc.ca/site/eng/9.855727/publication.html" TargetMode="External"/><Relationship Id="rId924" Type="http://schemas.openxmlformats.org/officeDocument/2006/relationships/hyperlink" Target="https://legislation.nimonikapp.com/legislations/216414/legislation_texts" TargetMode="External"/><Relationship Id="rId923" Type="http://schemas.openxmlformats.org/officeDocument/2006/relationships/hyperlink" Target="https://store.csagroup.org/ccrz__ProductDetails?viewState=DetailView&amp;cartID=&amp;portalUser=&amp;store=&amp;cclcl=fr_CA&amp;sku=CSA%20Z662%3A19" TargetMode="External"/><Relationship Id="rId922" Type="http://schemas.openxmlformats.org/officeDocument/2006/relationships/hyperlink" Target="https://legislation.nimonikapp.com/legislations/215461/legislation_texts" TargetMode="External"/><Relationship Id="rId1630" Type="http://schemas.openxmlformats.org/officeDocument/2006/relationships/hyperlink" Target="https://canlii.ca/t/8739" TargetMode="External"/><Relationship Id="rId1620" Type="http://schemas.openxmlformats.org/officeDocument/2006/relationships/hyperlink" Target="https://novascotia.ca/just/regulations/regs/ERCwithdrawal.htm" TargetMode="External"/><Relationship Id="rId1621" Type="http://schemas.openxmlformats.org/officeDocument/2006/relationships/hyperlink" Target="https://legislation.nimonikapp.com/legislations/520806/legislation_texts" TargetMode="External"/><Relationship Id="rId1622" Type="http://schemas.openxmlformats.org/officeDocument/2006/relationships/hyperlink" Target="https://canlii.ca/t/876p" TargetMode="External"/><Relationship Id="rId1623" Type="http://schemas.openxmlformats.org/officeDocument/2006/relationships/hyperlink" Target="https://novascotia.ca/just/regulations/regs/prrpexmt.htm" TargetMode="External"/><Relationship Id="rId1624" Type="http://schemas.openxmlformats.org/officeDocument/2006/relationships/hyperlink" Target="https://canlii.ca/t/86r4" TargetMode="External"/><Relationship Id="rId1625" Type="http://schemas.openxmlformats.org/officeDocument/2006/relationships/hyperlink" Target="https://novascotia.ca/just/regulations/regs/pipland.htm" TargetMode="External"/><Relationship Id="rId1626" Type="http://schemas.openxmlformats.org/officeDocument/2006/relationships/hyperlink" Target="https://legislation.nimonikapp.com/legislations/520916/legislation_texts" TargetMode="External"/><Relationship Id="rId1627" Type="http://schemas.openxmlformats.org/officeDocument/2006/relationships/hyperlink" Target="https://canlii.ca/t/8644" TargetMode="External"/><Relationship Id="rId918" Type="http://schemas.openxmlformats.org/officeDocument/2006/relationships/hyperlink" Target="https://legislation.nimonikapp.com/legislations/213805/legislation_texts" TargetMode="External"/><Relationship Id="rId1628" Type="http://schemas.openxmlformats.org/officeDocument/2006/relationships/hyperlink" Target="https://novascotia.ca/just/regulations/regs/pppinfo.htm" TargetMode="External"/><Relationship Id="rId917" Type="http://schemas.openxmlformats.org/officeDocument/2006/relationships/hyperlink" Target="http://www.gazette.gc.ca/rp-pr/p2/2019/2019-07-10/html/sor-dors252-eng.html" TargetMode="External"/><Relationship Id="rId1629" Type="http://schemas.openxmlformats.org/officeDocument/2006/relationships/hyperlink" Target="https://legislation.nimonikapp.com/legislations/520917/legislation_texts" TargetMode="External"/><Relationship Id="rId916" Type="http://schemas.openxmlformats.org/officeDocument/2006/relationships/hyperlink" Target="http://canlii.ca/t/9lrg" TargetMode="External"/><Relationship Id="rId915" Type="http://schemas.openxmlformats.org/officeDocument/2006/relationships/hyperlink" Target="https://legislation.nimonikapp.com/legislations/213804/legislation_texts" TargetMode="External"/><Relationship Id="rId919" Type="http://schemas.openxmlformats.org/officeDocument/2006/relationships/hyperlink" Target="http://canlii.ca/t/f9vs" TargetMode="External"/><Relationship Id="rId910" Type="http://schemas.openxmlformats.org/officeDocument/2006/relationships/hyperlink" Target="http://canlii.ca/t/985b" TargetMode="External"/><Relationship Id="rId914" Type="http://schemas.openxmlformats.org/officeDocument/2006/relationships/hyperlink" Target="http://www.gazette.gc.ca/rp-pr/p2/2019/2019-06-26/html/sor-dors196-fra.html" TargetMode="External"/><Relationship Id="rId913" Type="http://schemas.openxmlformats.org/officeDocument/2006/relationships/hyperlink" Target="http://canlii.ca/t/dz8n" TargetMode="External"/><Relationship Id="rId912" Type="http://schemas.openxmlformats.org/officeDocument/2006/relationships/hyperlink" Target="https://legislation.nimonikapp.com/legislations/213536/legislation_texts" TargetMode="External"/><Relationship Id="rId911" Type="http://schemas.openxmlformats.org/officeDocument/2006/relationships/hyperlink" Target="http://www.gazette.gc.ca/rp-pr/p2/2019/2019-06-26/html/sor-dors196-eng.html" TargetMode="External"/><Relationship Id="rId1213" Type="http://schemas.openxmlformats.org/officeDocument/2006/relationships/hyperlink" Target="http://www.gazette.gc.ca/rp-pr/p2/2020/2020-11-11/html/sor-dors231-fra.html" TargetMode="External"/><Relationship Id="rId1697" Type="http://schemas.openxmlformats.org/officeDocument/2006/relationships/hyperlink" Target="https://legislation.nimonikapp.com/legislations/527751/legislation_texts" TargetMode="External"/><Relationship Id="rId1214" Type="http://schemas.openxmlformats.org/officeDocument/2006/relationships/hyperlink" Target="http://www.gazette.gc.ca/rp-pr/p2/2020/2020-11-11/pdf/g2-15423.pdf" TargetMode="External"/><Relationship Id="rId1698" Type="http://schemas.openxmlformats.org/officeDocument/2006/relationships/hyperlink" Target="https://canlii.ca/t/8wnr" TargetMode="External"/><Relationship Id="rId1215" Type="http://schemas.openxmlformats.org/officeDocument/2006/relationships/hyperlink" Target="https://legislation.nimonikapp.com/legislations/407701/legislation_texts" TargetMode="External"/><Relationship Id="rId1699" Type="http://schemas.openxmlformats.org/officeDocument/2006/relationships/hyperlink" Target="https://www.assembly.nl.ca/Legislation/sr/Regulations/rc160006.htm" TargetMode="External"/><Relationship Id="rId1216" Type="http://schemas.openxmlformats.org/officeDocument/2006/relationships/hyperlink" Target="http://canlii.ca/t/b59x" TargetMode="External"/><Relationship Id="rId1217" Type="http://schemas.openxmlformats.org/officeDocument/2006/relationships/hyperlink" Target="https://www.ontario.ca/laws/regulation/r20663" TargetMode="External"/><Relationship Id="rId1218" Type="http://schemas.openxmlformats.org/officeDocument/2006/relationships/hyperlink" Target="https://legislation.nimonikapp.com/legislations/410147/legislation_texts" TargetMode="External"/><Relationship Id="rId1219" Type="http://schemas.openxmlformats.org/officeDocument/2006/relationships/hyperlink" Target="http://canlii.ca/t/b5f4" TargetMode="External"/><Relationship Id="rId866" Type="http://schemas.openxmlformats.org/officeDocument/2006/relationships/hyperlink" Target="http://canlii.ca/t/cm4s" TargetMode="External"/><Relationship Id="rId865" Type="http://schemas.openxmlformats.org/officeDocument/2006/relationships/hyperlink" Target="https://legislation.nimonikapp.com/legislations/206668/legislation_texts" TargetMode="External"/><Relationship Id="rId864" Type="http://schemas.openxmlformats.org/officeDocument/2006/relationships/hyperlink" Target="http://canlii.ca/t/7x1g" TargetMode="External"/><Relationship Id="rId863" Type="http://schemas.openxmlformats.org/officeDocument/2006/relationships/hyperlink" Target="https://legislation.nimonikapp.com/legislations/206667/legislation_texts" TargetMode="External"/><Relationship Id="rId869" Type="http://schemas.openxmlformats.org/officeDocument/2006/relationships/hyperlink" Target="https://legislation.nimonikapp.com/legislations/206670/legislation_texts" TargetMode="External"/><Relationship Id="rId868" Type="http://schemas.openxmlformats.org/officeDocument/2006/relationships/hyperlink" Target="http://canlii.ca/t/7x1t" TargetMode="External"/><Relationship Id="rId867" Type="http://schemas.openxmlformats.org/officeDocument/2006/relationships/hyperlink" Target="https://legislation.nimonikapp.com/legislations/206669/legislation_texts" TargetMode="External"/><Relationship Id="rId1690" Type="http://schemas.openxmlformats.org/officeDocument/2006/relationships/hyperlink" Target="https://canlii.ca/t/8ckb" TargetMode="External"/><Relationship Id="rId1691" Type="http://schemas.openxmlformats.org/officeDocument/2006/relationships/hyperlink" Target="https://www.assembly.nl.ca/Legislation/sr/Regulations/rc960002.htm" TargetMode="External"/><Relationship Id="rId1692" Type="http://schemas.openxmlformats.org/officeDocument/2006/relationships/hyperlink" Target="https://canlii.ca/t/8b65" TargetMode="External"/><Relationship Id="rId862" Type="http://schemas.openxmlformats.org/officeDocument/2006/relationships/hyperlink" Target="http://canlii.ca/t/cpjx" TargetMode="External"/><Relationship Id="rId1693" Type="http://schemas.openxmlformats.org/officeDocument/2006/relationships/hyperlink" Target="https://www.assembly.nl.ca/Legislation/sr/Regulations/rc970018.htm" TargetMode="External"/><Relationship Id="rId861" Type="http://schemas.openxmlformats.org/officeDocument/2006/relationships/hyperlink" Target="https://legislation.nimonikapp.com/legislations/206666/legislation_texts" TargetMode="External"/><Relationship Id="rId1210" Type="http://schemas.openxmlformats.org/officeDocument/2006/relationships/hyperlink" Target="http://www.gazette.gc.ca/rp-pr/p2/2020/2020-11-11/pdf/g2-15423.pdf" TargetMode="External"/><Relationship Id="rId1694" Type="http://schemas.openxmlformats.org/officeDocument/2006/relationships/hyperlink" Target="https://legislation.nimonikapp.com/legislations/527750/legislation_texts" TargetMode="External"/><Relationship Id="rId860" Type="http://schemas.openxmlformats.org/officeDocument/2006/relationships/hyperlink" Target="http://canlii.ca/t/80fl" TargetMode="External"/><Relationship Id="rId1211" Type="http://schemas.openxmlformats.org/officeDocument/2006/relationships/hyperlink" Target="https://legislation.nimonikapp.com/legislations/405086/legislation_texts" TargetMode="External"/><Relationship Id="rId1695" Type="http://schemas.openxmlformats.org/officeDocument/2006/relationships/hyperlink" Target="https://canlii.ca/t/90s0" TargetMode="External"/><Relationship Id="rId1212" Type="http://schemas.openxmlformats.org/officeDocument/2006/relationships/hyperlink" Target="http://canlii.ca/t/fvdh" TargetMode="External"/><Relationship Id="rId1696" Type="http://schemas.openxmlformats.org/officeDocument/2006/relationships/hyperlink" Target="https://www.assembly.nl.ca/Legislation/sr/Regulations/rc170037.htm" TargetMode="External"/><Relationship Id="rId1202" Type="http://schemas.openxmlformats.org/officeDocument/2006/relationships/hyperlink" Target="http://www.gazette.gc.ca/rp-pr/p2/2020/2020-11-11/pdf/g2-15423.pdf" TargetMode="External"/><Relationship Id="rId1686" Type="http://schemas.openxmlformats.org/officeDocument/2006/relationships/hyperlink" Target="https://legislation.nimonikapp.com/legislations/527747/legislation_texts" TargetMode="External"/><Relationship Id="rId1203" Type="http://schemas.openxmlformats.org/officeDocument/2006/relationships/hyperlink" Target="https://legislation.nimonikapp.com/legislations/405025/legislation_texts" TargetMode="External"/><Relationship Id="rId1687" Type="http://schemas.openxmlformats.org/officeDocument/2006/relationships/hyperlink" Target="https://canlii.ca/t/8c6j" TargetMode="External"/><Relationship Id="rId1204" Type="http://schemas.openxmlformats.org/officeDocument/2006/relationships/hyperlink" Target="http://canlii.ca/t/fvdf" TargetMode="External"/><Relationship Id="rId1688" Type="http://schemas.openxmlformats.org/officeDocument/2006/relationships/hyperlink" Target="https://www.assembly.nl.ca/Legislation/sr/Regulations/rc960738.htm" TargetMode="External"/><Relationship Id="rId1205" Type="http://schemas.openxmlformats.org/officeDocument/2006/relationships/hyperlink" Target="http://www.gazette.gc.ca/rp-pr/p2/2020/2020-11-11/html/sor-dors234-fra.html" TargetMode="External"/><Relationship Id="rId1689" Type="http://schemas.openxmlformats.org/officeDocument/2006/relationships/hyperlink" Target="https://legislation.nimonikapp.com/legislations/527748/legislation_texts" TargetMode="External"/><Relationship Id="rId1206" Type="http://schemas.openxmlformats.org/officeDocument/2006/relationships/hyperlink" Target="http://www.gazette.gc.ca/rp-pr/p2/2020/2020-11-11/pdf/g2-15423.pdf" TargetMode="External"/><Relationship Id="rId1207" Type="http://schemas.openxmlformats.org/officeDocument/2006/relationships/hyperlink" Target="https://legislation.nimonikapp.com/legislations/405085/legislation_texts" TargetMode="External"/><Relationship Id="rId1208" Type="http://schemas.openxmlformats.org/officeDocument/2006/relationships/hyperlink" Target="http://canlii.ca/t/b595" TargetMode="External"/><Relationship Id="rId1209" Type="http://schemas.openxmlformats.org/officeDocument/2006/relationships/hyperlink" Target="http://www.gazette.gc.ca/rp-pr/p2/2020/2020-11-11/html/sor-dors231-eng.html" TargetMode="External"/><Relationship Id="rId855" Type="http://schemas.openxmlformats.org/officeDocument/2006/relationships/hyperlink" Target="https://legislation.nimonikapp.com/legislations/206663/legislation_texts" TargetMode="External"/><Relationship Id="rId854" Type="http://schemas.openxmlformats.org/officeDocument/2006/relationships/hyperlink" Target="http://canlii.ca/t/cm54" TargetMode="External"/><Relationship Id="rId853" Type="http://schemas.openxmlformats.org/officeDocument/2006/relationships/hyperlink" Target="https://legislation.nimonikapp.com/legislations/206662/legislation_texts" TargetMode="External"/><Relationship Id="rId852" Type="http://schemas.openxmlformats.org/officeDocument/2006/relationships/hyperlink" Target="http://canlii.ca/t/7x1s" TargetMode="External"/><Relationship Id="rId859" Type="http://schemas.openxmlformats.org/officeDocument/2006/relationships/hyperlink" Target="https://legislation.nimonikapp.com/legislations/206665/legislation_texts" TargetMode="External"/><Relationship Id="rId858" Type="http://schemas.openxmlformats.org/officeDocument/2006/relationships/hyperlink" Target="http://canlii.ca/t/cm4r" TargetMode="External"/><Relationship Id="rId857" Type="http://schemas.openxmlformats.org/officeDocument/2006/relationships/hyperlink" Target="https://legislation.nimonikapp.com/legislations/206664/legislation_texts" TargetMode="External"/><Relationship Id="rId856" Type="http://schemas.openxmlformats.org/officeDocument/2006/relationships/hyperlink" Target="http://canlii.ca/t/7x1f" TargetMode="External"/><Relationship Id="rId1680" Type="http://schemas.openxmlformats.org/officeDocument/2006/relationships/hyperlink" Target="https://legislation.nimonikapp.com/legislations/527698/legislation_texts" TargetMode="External"/><Relationship Id="rId1681" Type="http://schemas.openxmlformats.org/officeDocument/2006/relationships/hyperlink" Target="https://canlii.ca/t/8cms" TargetMode="External"/><Relationship Id="rId851" Type="http://schemas.openxmlformats.org/officeDocument/2006/relationships/hyperlink" Target="https://legislation.nimonikapp.com/legislations/206661/legislation_texts" TargetMode="External"/><Relationship Id="rId1682" Type="http://schemas.openxmlformats.org/officeDocument/2006/relationships/hyperlink" Target="https://www.assembly.nl.ca/Legislation/sr/Regulations/rc970032.htm" TargetMode="External"/><Relationship Id="rId850" Type="http://schemas.openxmlformats.org/officeDocument/2006/relationships/hyperlink" Target="http://canlii.ca/t/cllc" TargetMode="External"/><Relationship Id="rId1683" Type="http://schemas.openxmlformats.org/officeDocument/2006/relationships/hyperlink" Target="https://legislation.nimonikapp.com/legislations/527736/legislation_texts" TargetMode="External"/><Relationship Id="rId1200" Type="http://schemas.openxmlformats.org/officeDocument/2006/relationships/hyperlink" Target="http://canlii.ca/t/b593" TargetMode="External"/><Relationship Id="rId1684" Type="http://schemas.openxmlformats.org/officeDocument/2006/relationships/hyperlink" Target="https://canlii.ca/t/8bcx" TargetMode="External"/><Relationship Id="rId1201" Type="http://schemas.openxmlformats.org/officeDocument/2006/relationships/hyperlink" Target="http://www.gazette.gc.ca/rp-pr/p2/2020/2020-11-11/html/sor-dors234-eng.html" TargetMode="External"/><Relationship Id="rId1685" Type="http://schemas.openxmlformats.org/officeDocument/2006/relationships/hyperlink" Target="https://www.assembly.nl.ca/Legislation/sr/Regulations/rc961015.htm" TargetMode="External"/><Relationship Id="rId1235" Type="http://schemas.openxmlformats.org/officeDocument/2006/relationships/hyperlink" Target="https://open.alberta.ca/dataset/ebaf4d4d-d3f9-4973-b416-db5006747016/resource/3a30a95f-35ab-4214-9617-240f4695a9cb/download/aep-water-conservation-policy-for-upstream-oil-and-gas-operations-2020.pdf" TargetMode="External"/><Relationship Id="rId1236" Type="http://schemas.openxmlformats.org/officeDocument/2006/relationships/hyperlink" Target="https://open.alberta.ca/publications/water-conservation-policy-for-upstream-oil-and-gas-operations" TargetMode="External"/><Relationship Id="rId1237" Type="http://schemas.openxmlformats.org/officeDocument/2006/relationships/hyperlink" Target="https://legislation.nimonikapp.com/legislations/418791/legislation_texts" TargetMode="External"/><Relationship Id="rId1238" Type="http://schemas.openxmlformats.org/officeDocument/2006/relationships/hyperlink" Target="https://www.saskatchewan.ca/government/public-consultations/proposed-new-oil-and-gas-liability-management-regulations" TargetMode="External"/><Relationship Id="rId1239" Type="http://schemas.openxmlformats.org/officeDocument/2006/relationships/hyperlink" Target="https://legislation.nimonikapp.com/legislations/420059/legislation_texts" TargetMode="External"/><Relationship Id="rId409" Type="http://schemas.openxmlformats.org/officeDocument/2006/relationships/hyperlink" Target="https://www.canlii.org/fr/ca/legis/regl/dors-95-334/derniere/dors-95-334.html" TargetMode="External"/><Relationship Id="rId404" Type="http://schemas.openxmlformats.org/officeDocument/2006/relationships/hyperlink" Target="https://canlii.ca/t/80f6" TargetMode="External"/><Relationship Id="rId888" Type="http://schemas.openxmlformats.org/officeDocument/2006/relationships/hyperlink" Target="https://www.bcogc.ca/node/8283/download" TargetMode="External"/><Relationship Id="rId403" Type="http://schemas.openxmlformats.org/officeDocument/2006/relationships/hyperlink" Target="https://legislation.nimonikapp.com/legislations/4276/legislation_texts" TargetMode="External"/><Relationship Id="rId887" Type="http://schemas.openxmlformats.org/officeDocument/2006/relationships/hyperlink" Target="https://legislation.nimonikapp.com/legislations/213495/legislation_texts" TargetMode="External"/><Relationship Id="rId402" Type="http://schemas.openxmlformats.org/officeDocument/2006/relationships/hyperlink" Target="https://www.canlii.org/fr/ca/legis/regl/dors-2015-5/derniere/dors-2015-5.html" TargetMode="External"/><Relationship Id="rId886" Type="http://schemas.openxmlformats.org/officeDocument/2006/relationships/hyperlink" Target="http://canlii.ca/t/984f" TargetMode="External"/><Relationship Id="rId401" Type="http://schemas.openxmlformats.org/officeDocument/2006/relationships/hyperlink" Target="https://legislation.nimonikapp.com/legislations/439531/legislation_texts" TargetMode="External"/><Relationship Id="rId885" Type="http://schemas.openxmlformats.org/officeDocument/2006/relationships/hyperlink" Target="https://legislation.nimonikapp.com/legislations/212159/legislation_texts" TargetMode="External"/><Relationship Id="rId408" Type="http://schemas.openxmlformats.org/officeDocument/2006/relationships/hyperlink" Target="https://legislation.nimonikapp.com/legislations/439532/legislation_texts" TargetMode="External"/><Relationship Id="rId407" Type="http://schemas.openxmlformats.org/officeDocument/2006/relationships/hyperlink" Target="https://canlii.ca/t/80gh" TargetMode="External"/><Relationship Id="rId406" Type="http://schemas.openxmlformats.org/officeDocument/2006/relationships/hyperlink" Target="https://legislation.nimonikapp.com/legislations/4277/legislation_texts" TargetMode="External"/><Relationship Id="rId405" Type="http://schemas.openxmlformats.org/officeDocument/2006/relationships/hyperlink" Target="http://canlii.ca/t/cpjj" TargetMode="External"/><Relationship Id="rId889" Type="http://schemas.openxmlformats.org/officeDocument/2006/relationships/hyperlink" Target="https://legislation.nimonikapp.com/legislations/213501/legislation_texts" TargetMode="External"/><Relationship Id="rId880" Type="http://schemas.openxmlformats.org/officeDocument/2006/relationships/hyperlink" Target="http://gazette.gc.ca/rp-pr/p1/2018/2018-12-22/html/reg8-fra.html" TargetMode="External"/><Relationship Id="rId1230" Type="http://schemas.openxmlformats.org/officeDocument/2006/relationships/hyperlink" Target="http://www.gazette.gc.ca/rp-pr/p1/2020/2020-12-19/pdf/g1-15451.pdf" TargetMode="External"/><Relationship Id="rId400" Type="http://schemas.openxmlformats.org/officeDocument/2006/relationships/hyperlink" Target="https://canlii.ca/t/8tmr" TargetMode="External"/><Relationship Id="rId884" Type="http://schemas.openxmlformats.org/officeDocument/2006/relationships/hyperlink" Target="http://www.gazette.gc.ca/rp-pr/p1/2019/2019-06-15/html/reg5-fra.html" TargetMode="External"/><Relationship Id="rId1231" Type="http://schemas.openxmlformats.org/officeDocument/2006/relationships/hyperlink" Target="https://legislation.nimonikapp.com/legislations/415596/legislation_texts" TargetMode="External"/><Relationship Id="rId883" Type="http://schemas.openxmlformats.org/officeDocument/2006/relationships/hyperlink" Target="https://legislation.nimonikapp.com/legislations/211648/legislation_texts" TargetMode="External"/><Relationship Id="rId1232" Type="http://schemas.openxmlformats.org/officeDocument/2006/relationships/hyperlink" Target="http://www.gazette.gc.ca/rp-pr/p1/2020/2020-12-19/html/reg2-fra.html" TargetMode="External"/><Relationship Id="rId882" Type="http://schemas.openxmlformats.org/officeDocument/2006/relationships/hyperlink" Target="http://www.gazette.gc.ca/rp-pr/p1/2019/2019-06-15/html/reg5-eng.html" TargetMode="External"/><Relationship Id="rId1233" Type="http://schemas.openxmlformats.org/officeDocument/2006/relationships/hyperlink" Target="http://www.gazette.gc.ca/rp-pr/p1/2020/2020-12-19/pdf/g1-15451.pdf" TargetMode="External"/><Relationship Id="rId881" Type="http://schemas.openxmlformats.org/officeDocument/2006/relationships/hyperlink" Target="https://legislation.nimonikapp.com/legislations/211647/legislation_texts" TargetMode="External"/><Relationship Id="rId1234" Type="http://schemas.openxmlformats.org/officeDocument/2006/relationships/hyperlink" Target="https://legislation.nimonikapp.com/legislations/417571/legislation_texts" TargetMode="External"/><Relationship Id="rId1224" Type="http://schemas.openxmlformats.org/officeDocument/2006/relationships/hyperlink" Target="http://publications.gc.ca/collections/collection_2020/ongc-cgsb/P29-4-3-24-2020-fra.pdf" TargetMode="External"/><Relationship Id="rId1225" Type="http://schemas.openxmlformats.org/officeDocument/2006/relationships/hyperlink" Target="http://ca-cgsb-3.24-2019.fr" TargetMode="External"/><Relationship Id="rId1226" Type="http://schemas.openxmlformats.org/officeDocument/2006/relationships/hyperlink" Target="https://legislation.nimonikapp.com/legislations/414712/legislation_texts" TargetMode="External"/><Relationship Id="rId1227" Type="http://schemas.openxmlformats.org/officeDocument/2006/relationships/hyperlink" Target="https://ero.ontario.ca/notice/019-2935" TargetMode="External"/><Relationship Id="rId1228" Type="http://schemas.openxmlformats.org/officeDocument/2006/relationships/hyperlink" Target="https://legislation.nimonikapp.com/legislations/415595/legislation_texts" TargetMode="External"/><Relationship Id="rId1229" Type="http://schemas.openxmlformats.org/officeDocument/2006/relationships/hyperlink" Target="http://www.gazette.gc.ca/rp-pr/p1/2020/2020-12-19/html/reg2-eng.html" TargetMode="External"/><Relationship Id="rId877" Type="http://schemas.openxmlformats.org/officeDocument/2006/relationships/hyperlink" Target="https://legislation.nimonikapp.com/legislations/210952/legislation_texts" TargetMode="External"/><Relationship Id="rId876" Type="http://schemas.openxmlformats.org/officeDocument/2006/relationships/hyperlink" Target="https://www.canlii.org/en/bc/laws/regu/bc-reg-112-2019/latest/bc-reg-112-2019.html?resultIndex=1" TargetMode="External"/><Relationship Id="rId875" Type="http://schemas.openxmlformats.org/officeDocument/2006/relationships/hyperlink" Target="https://legislation.nimonikapp.com/legislations/210251/legislation_texts" TargetMode="External"/><Relationship Id="rId874" Type="http://schemas.openxmlformats.org/officeDocument/2006/relationships/hyperlink" Target="http://canlii.ca/t/cm53" TargetMode="External"/><Relationship Id="rId879" Type="http://schemas.openxmlformats.org/officeDocument/2006/relationships/hyperlink" Target="https://legislation.nimonikapp.com/legislations/210953/legislation_texts" TargetMode="External"/><Relationship Id="rId878" Type="http://schemas.openxmlformats.org/officeDocument/2006/relationships/hyperlink" Target="http://gazette.gc.ca/rp-pr/p1/2018/2018-12-22/html/reg8-eng.html" TargetMode="External"/><Relationship Id="rId873" Type="http://schemas.openxmlformats.org/officeDocument/2006/relationships/hyperlink" Target="https://legislation.nimonikapp.com/legislations/206672/legislation_texts" TargetMode="External"/><Relationship Id="rId1220" Type="http://schemas.openxmlformats.org/officeDocument/2006/relationships/hyperlink" Target="https://www.qp.alberta.ca/Documents/AnnualVolumes/2020/G05p5_2020.pdf" TargetMode="External"/><Relationship Id="rId872" Type="http://schemas.openxmlformats.org/officeDocument/2006/relationships/hyperlink" Target="http://canlii.ca/t/7x1r" TargetMode="External"/><Relationship Id="rId1221" Type="http://schemas.openxmlformats.org/officeDocument/2006/relationships/hyperlink" Target="https://legislation.nimonikapp.com/legislations/411601/legislation_texts" TargetMode="External"/><Relationship Id="rId871" Type="http://schemas.openxmlformats.org/officeDocument/2006/relationships/hyperlink" Target="https://legislation.nimonikapp.com/legislations/206671/legislation_texts" TargetMode="External"/><Relationship Id="rId1222" Type="http://schemas.openxmlformats.org/officeDocument/2006/relationships/hyperlink" Target="http://publications.gc.ca/collections/collection_2020/ongc-cgsb/P29-4-3-24-2020-eng.pdf" TargetMode="External"/><Relationship Id="rId870" Type="http://schemas.openxmlformats.org/officeDocument/2006/relationships/hyperlink" Target="http://canlii.ca/t/cm55" TargetMode="External"/><Relationship Id="rId1223" Type="http://schemas.openxmlformats.org/officeDocument/2006/relationships/hyperlink" Target="https://legislation.nimonikapp.com/legislations/411602/legislation_texts" TargetMode="External"/><Relationship Id="rId1653" Type="http://schemas.openxmlformats.org/officeDocument/2006/relationships/hyperlink" Target="https://www.bclaws.gov.bc.ca/civix/document/id/regulationbulletin/regulationbulletin/r0181_2022" TargetMode="External"/><Relationship Id="rId1654" Type="http://schemas.openxmlformats.org/officeDocument/2006/relationships/hyperlink" Target="https://www.bclaws.gov.bc.ca/civix/document/id/regulationbulletin/regulationbulletin/2022bull31" TargetMode="External"/><Relationship Id="rId1655" Type="http://schemas.openxmlformats.org/officeDocument/2006/relationships/hyperlink" Target="https://legislation.nimonikapp.com/legislations/527533/legislation_texts" TargetMode="External"/><Relationship Id="rId1656" Type="http://schemas.openxmlformats.org/officeDocument/2006/relationships/hyperlink" Target="https://www.csagroup.org/store/product/2701654/" TargetMode="External"/><Relationship Id="rId1657" Type="http://schemas.openxmlformats.org/officeDocument/2006/relationships/hyperlink" Target="https://legislation.nimonikapp.com/legislations/527534/legislation_texts" TargetMode="External"/><Relationship Id="rId1658" Type="http://schemas.openxmlformats.org/officeDocument/2006/relationships/hyperlink" Target="https://www.csagroup.org/fr/store/product/2701654/" TargetMode="External"/><Relationship Id="rId1659" Type="http://schemas.openxmlformats.org/officeDocument/2006/relationships/hyperlink" Target="http://ca-csaz245.1-18.fr" TargetMode="External"/><Relationship Id="rId829" Type="http://schemas.openxmlformats.org/officeDocument/2006/relationships/hyperlink" Target="http://canlii.ca/t/69n5v" TargetMode="External"/><Relationship Id="rId828" Type="http://schemas.openxmlformats.org/officeDocument/2006/relationships/hyperlink" Target="https://legislation.nimonikapp.com/legislations/206632/legislation_texts" TargetMode="External"/><Relationship Id="rId827" Type="http://schemas.openxmlformats.org/officeDocument/2006/relationships/hyperlink" Target="http://canlii.ca/t/52m2j" TargetMode="External"/><Relationship Id="rId822" Type="http://schemas.openxmlformats.org/officeDocument/2006/relationships/hyperlink" Target="http://canlii.ca/t/852m" TargetMode="External"/><Relationship Id="rId821" Type="http://schemas.openxmlformats.org/officeDocument/2006/relationships/hyperlink" Target="https://legislation.nimonikapp.com/legislations/205251/legislation_texts" TargetMode="External"/><Relationship Id="rId820" Type="http://schemas.openxmlformats.org/officeDocument/2006/relationships/hyperlink" Target="https://store.csagroup.org/ccrz__ProductDetails?viewState=DetailView&amp;cartID=&amp;portalUser=&amp;store=&amp;cclcl=fr_CA&amp;sku=2702055" TargetMode="External"/><Relationship Id="rId826" Type="http://schemas.openxmlformats.org/officeDocument/2006/relationships/hyperlink" Target="https://legislation.nimonikapp.com/legislations/206631/legislation_texts" TargetMode="External"/><Relationship Id="rId825" Type="http://schemas.openxmlformats.org/officeDocument/2006/relationships/hyperlink" Target="http://canlii.ca/t/69n6s" TargetMode="External"/><Relationship Id="rId824" Type="http://schemas.openxmlformats.org/officeDocument/2006/relationships/hyperlink" Target="https://legislation.nimonikapp.com/legislations/206630/legislation_texts" TargetMode="External"/><Relationship Id="rId823" Type="http://schemas.openxmlformats.org/officeDocument/2006/relationships/hyperlink" Target="http://canlii.ca/t/52m3g" TargetMode="External"/><Relationship Id="rId1650" Type="http://schemas.openxmlformats.org/officeDocument/2006/relationships/hyperlink" Target="https://canlii.ca/t/8clw" TargetMode="External"/><Relationship Id="rId1651" Type="http://schemas.openxmlformats.org/officeDocument/2006/relationships/hyperlink" Target="https://www.assembly.nl.ca/Legislation/sr/Regulations/rc010079.htm" TargetMode="External"/><Relationship Id="rId1652" Type="http://schemas.openxmlformats.org/officeDocument/2006/relationships/hyperlink" Target="https://legislation.nimonikapp.com/legislations/526339/legislation_texts" TargetMode="External"/><Relationship Id="rId1642" Type="http://schemas.openxmlformats.org/officeDocument/2006/relationships/hyperlink" Target="https://novascotia.ca/just/regulations/rxam-z.htm" TargetMode="External"/><Relationship Id="rId1643" Type="http://schemas.openxmlformats.org/officeDocument/2006/relationships/hyperlink" Target="https://canlii.ca/t/8b0k" TargetMode="External"/><Relationship Id="rId1644" Type="http://schemas.openxmlformats.org/officeDocument/2006/relationships/hyperlink" Target="https://www.assembly.nl.ca/Legislation/sr/statutes/m14.htm" TargetMode="External"/><Relationship Id="rId1645" Type="http://schemas.openxmlformats.org/officeDocument/2006/relationships/hyperlink" Target="https://canlii.ca/t/89v8" TargetMode="External"/><Relationship Id="rId1646" Type="http://schemas.openxmlformats.org/officeDocument/2006/relationships/hyperlink" Target="https://www.assembly.nl.ca/Legislation/sr/statutes/p10-1.htm" TargetMode="External"/><Relationship Id="rId1647" Type="http://schemas.openxmlformats.org/officeDocument/2006/relationships/hyperlink" Target="https://canlii.ca/t/8cx7" TargetMode="External"/><Relationship Id="rId1648" Type="http://schemas.openxmlformats.org/officeDocument/2006/relationships/hyperlink" Target="https://www.assembly.nl.ca/Legislation/sr/Regulations/rc961124.htm" TargetMode="External"/><Relationship Id="rId1649" Type="http://schemas.openxmlformats.org/officeDocument/2006/relationships/hyperlink" Target="https://legislation.nimonikapp.com/legislations/522103/legislation_texts" TargetMode="External"/><Relationship Id="rId819" Type="http://schemas.openxmlformats.org/officeDocument/2006/relationships/hyperlink" Target="https://legislation.nimonikapp.com/legislations/202780/legislation_texts" TargetMode="External"/><Relationship Id="rId818" Type="http://schemas.openxmlformats.org/officeDocument/2006/relationships/hyperlink" Target="https://store.csagroup.org/ccrz__ProductDetails?viewState=DetailView&amp;cartID=&amp;portalUser=&amp;store=&amp;cclcl=en_US&amp;sku=2702055" TargetMode="External"/><Relationship Id="rId817" Type="http://schemas.openxmlformats.org/officeDocument/2006/relationships/hyperlink" Target="https://legislation.nimonikapp.com/legislations/202779/legislation_texts" TargetMode="External"/><Relationship Id="rId816" Type="http://schemas.openxmlformats.org/officeDocument/2006/relationships/hyperlink" Target="http://www.qp.alberta.ca/1266.cfm?page=2016_211.cfm&amp;leg_type=Regs&amp;isbncln=9780779807246" TargetMode="External"/><Relationship Id="rId811" Type="http://schemas.openxmlformats.org/officeDocument/2006/relationships/hyperlink" Target="http://canlii.ca/t/83xm" TargetMode="External"/><Relationship Id="rId810" Type="http://schemas.openxmlformats.org/officeDocument/2006/relationships/hyperlink" Target="https://legislation.nimonikapp.com/legislations/202396/legislation_texts" TargetMode="External"/><Relationship Id="rId815" Type="http://schemas.openxmlformats.org/officeDocument/2006/relationships/hyperlink" Target="http://www.qp.alberta.ca/1266.cfm?page=2016_211.cfm&amp;leg_type=Regs&amp;isbncln=9780779807246&amp;display=html" TargetMode="External"/><Relationship Id="rId814" Type="http://schemas.openxmlformats.org/officeDocument/2006/relationships/hyperlink" Target="http://canlii.ca/t/8zs4" TargetMode="External"/><Relationship Id="rId813" Type="http://schemas.openxmlformats.org/officeDocument/2006/relationships/hyperlink" Target="http://www.qp.alberta.ca/1266.cfm?page=2008_221.cfm&amp;leg_type=Regs&amp;isbncln=9780779807239" TargetMode="External"/><Relationship Id="rId812" Type="http://schemas.openxmlformats.org/officeDocument/2006/relationships/hyperlink" Target="http://www.qp.alberta.ca/1266.cfm?page=2008_221.cfm&amp;leg_type=Regs&amp;isbncln=9780779807239&amp;display=html" TargetMode="External"/><Relationship Id="rId1640" Type="http://schemas.openxmlformats.org/officeDocument/2006/relationships/hyperlink" Target="https://novascotia.ca/just/regulations/regs/pipsable.htm" TargetMode="External"/><Relationship Id="rId1641" Type="http://schemas.openxmlformats.org/officeDocument/2006/relationships/hyperlink" Target="https://novascotia.ca/just/regulations/regs/petrol_prices.pdf" TargetMode="External"/><Relationship Id="rId1675" Type="http://schemas.openxmlformats.org/officeDocument/2006/relationships/hyperlink" Target="https://canlii.ca/t/8b51" TargetMode="External"/><Relationship Id="rId1676" Type="http://schemas.openxmlformats.org/officeDocument/2006/relationships/hyperlink" Target="https://www.assembly.nl.ca/Legislation/sr/statutes/u02.htm" TargetMode="External"/><Relationship Id="rId1677" Type="http://schemas.openxmlformats.org/officeDocument/2006/relationships/hyperlink" Target="https://legislation.nimonikapp.com/legislations/527670/legislation_texts" TargetMode="External"/><Relationship Id="rId1678" Type="http://schemas.openxmlformats.org/officeDocument/2006/relationships/hyperlink" Target="https://canlii.ca/t/8cpc" TargetMode="External"/><Relationship Id="rId1679" Type="http://schemas.openxmlformats.org/officeDocument/2006/relationships/hyperlink" Target="https://www.assembly.nl.ca/Legislation/sr/Regulations/rc070039.htm" TargetMode="External"/><Relationship Id="rId849" Type="http://schemas.openxmlformats.org/officeDocument/2006/relationships/hyperlink" Target="https://legislation.nimonikapp.com/legislations/206660/legislation_texts" TargetMode="External"/><Relationship Id="rId844" Type="http://schemas.openxmlformats.org/officeDocument/2006/relationships/hyperlink" Target="http://canlii.ca/t/80jf" TargetMode="External"/><Relationship Id="rId843" Type="http://schemas.openxmlformats.org/officeDocument/2006/relationships/hyperlink" Target="https://legislation.nimonikapp.com/legislations/206655/legislation_texts" TargetMode="External"/><Relationship Id="rId842" Type="http://schemas.openxmlformats.org/officeDocument/2006/relationships/hyperlink" Target="http://canlii.ca/t/cnbx" TargetMode="External"/><Relationship Id="rId841" Type="http://schemas.openxmlformats.org/officeDocument/2006/relationships/hyperlink" Target="https://legislation.nimonikapp.com/legislations/206654/legislation_texts" TargetMode="External"/><Relationship Id="rId848" Type="http://schemas.openxmlformats.org/officeDocument/2006/relationships/hyperlink" Target="http://canlii.ca/t/7wh1" TargetMode="External"/><Relationship Id="rId847" Type="http://schemas.openxmlformats.org/officeDocument/2006/relationships/hyperlink" Target="https://legislation.nimonikapp.com/legislations/206659/legislation_texts" TargetMode="External"/><Relationship Id="rId846" Type="http://schemas.openxmlformats.org/officeDocument/2006/relationships/hyperlink" Target="http://canlii.ca/t/cpmr" TargetMode="External"/><Relationship Id="rId845" Type="http://schemas.openxmlformats.org/officeDocument/2006/relationships/hyperlink" Target="https://legislation.nimonikapp.com/legislations/206656/legislation_texts" TargetMode="External"/><Relationship Id="rId1670" Type="http://schemas.openxmlformats.org/officeDocument/2006/relationships/hyperlink" Target="https://legislation.nimonikapp.com/legislations/527539/legislation_texts" TargetMode="External"/><Relationship Id="rId840" Type="http://schemas.openxmlformats.org/officeDocument/2006/relationships/hyperlink" Target="http://canlii.ca/t/7z7l" TargetMode="External"/><Relationship Id="rId1671" Type="http://schemas.openxmlformats.org/officeDocument/2006/relationships/hyperlink" Target="https://www.csagroup.org/store/product/2703706/" TargetMode="External"/><Relationship Id="rId1672" Type="http://schemas.openxmlformats.org/officeDocument/2006/relationships/hyperlink" Target="https://legislation.nimonikapp.com/legislations/527540/legislation_texts" TargetMode="External"/><Relationship Id="rId1673" Type="http://schemas.openxmlformats.org/officeDocument/2006/relationships/hyperlink" Target="https://www.csagroup.org/fr/store/product/2703706/" TargetMode="External"/><Relationship Id="rId1674" Type="http://schemas.openxmlformats.org/officeDocument/2006/relationships/hyperlink" Target="https://legislation.nimonikapp.com/legislations/527632/legislation_texts" TargetMode="External"/><Relationship Id="rId1664" Type="http://schemas.openxmlformats.org/officeDocument/2006/relationships/hyperlink" Target="http://ca-csaz245.11-17.fr" TargetMode="External"/><Relationship Id="rId1665" Type="http://schemas.openxmlformats.org/officeDocument/2006/relationships/hyperlink" Target="https://legislation.nimonikapp.com/legislations/527537/legislation_texts" TargetMode="External"/><Relationship Id="rId1666" Type="http://schemas.openxmlformats.org/officeDocument/2006/relationships/hyperlink" Target="https://www.csagroup.org/store/product/2701371/" TargetMode="External"/><Relationship Id="rId1667" Type="http://schemas.openxmlformats.org/officeDocument/2006/relationships/hyperlink" Target="https://legislation.nimonikapp.com/legislations/527538/legislation_texts" TargetMode="External"/><Relationship Id="rId1668" Type="http://schemas.openxmlformats.org/officeDocument/2006/relationships/hyperlink" Target="https://www.csagroup.org/fr/store/product/2701371/" TargetMode="External"/><Relationship Id="rId1669" Type="http://schemas.openxmlformats.org/officeDocument/2006/relationships/hyperlink" Target="http://ca-csaz245.15-17.fr" TargetMode="External"/><Relationship Id="rId839" Type="http://schemas.openxmlformats.org/officeDocument/2006/relationships/hyperlink" Target="https://legislation.nimonikapp.com/legislations/206653/legislation_texts" TargetMode="External"/><Relationship Id="rId838" Type="http://schemas.openxmlformats.org/officeDocument/2006/relationships/hyperlink" Target="http://canlii.ca/t/cp0h" TargetMode="External"/><Relationship Id="rId833" Type="http://schemas.openxmlformats.org/officeDocument/2006/relationships/hyperlink" Target="http://canlii.ca/t/7w0c" TargetMode="External"/><Relationship Id="rId832" Type="http://schemas.openxmlformats.org/officeDocument/2006/relationships/hyperlink" Target="http://canlii.ca/t/69n6j" TargetMode="External"/><Relationship Id="rId831" Type="http://schemas.openxmlformats.org/officeDocument/2006/relationships/hyperlink" Target="http://canlii.ca/t/52m36" TargetMode="External"/><Relationship Id="rId830" Type="http://schemas.openxmlformats.org/officeDocument/2006/relationships/hyperlink" Target="https://legislation.nimonikapp.com/legislations/206633/legislation_texts" TargetMode="External"/><Relationship Id="rId837" Type="http://schemas.openxmlformats.org/officeDocument/2006/relationships/hyperlink" Target="https://legislation.nimonikapp.com/legislations/206652/legislation_texts" TargetMode="External"/><Relationship Id="rId836" Type="http://schemas.openxmlformats.org/officeDocument/2006/relationships/hyperlink" Target="http://canlii.ca/t/7zw5" TargetMode="External"/><Relationship Id="rId835" Type="http://schemas.openxmlformats.org/officeDocument/2006/relationships/hyperlink" Target="https://legislation.nimonikapp.com/legislations/206651/legislation_texts" TargetMode="External"/><Relationship Id="rId834" Type="http://schemas.openxmlformats.org/officeDocument/2006/relationships/hyperlink" Target="http://canlii.ca/t/cl3p" TargetMode="External"/><Relationship Id="rId1660" Type="http://schemas.openxmlformats.org/officeDocument/2006/relationships/hyperlink" Target="https://legislation.nimonikapp.com/legislations/527535/legislation_texts" TargetMode="External"/><Relationship Id="rId1661" Type="http://schemas.openxmlformats.org/officeDocument/2006/relationships/hyperlink" Target="https://www.csagroup.org/store/product/2701373/" TargetMode="External"/><Relationship Id="rId1662" Type="http://schemas.openxmlformats.org/officeDocument/2006/relationships/hyperlink" Target="https://legislation.nimonikapp.com/legislations/527536/legislation_texts" TargetMode="External"/><Relationship Id="rId1663" Type="http://schemas.openxmlformats.org/officeDocument/2006/relationships/hyperlink" Target="https://www.csagroup.org/fr/store/product/2701373/" TargetMode="External"/><Relationship Id="rId469" Type="http://schemas.openxmlformats.org/officeDocument/2006/relationships/hyperlink" Target="https://static.aer.ca/prd/documents/directives/Directive039.pdf" TargetMode="External"/><Relationship Id="rId468" Type="http://schemas.openxmlformats.org/officeDocument/2006/relationships/hyperlink" Target="https://legislation.nimonikapp.com/legislations/4624/legislation_texts" TargetMode="External"/><Relationship Id="rId467" Type="http://schemas.openxmlformats.org/officeDocument/2006/relationships/hyperlink" Target="https://static.aer.ca/prd/documents/directives/Directive017.pdf" TargetMode="External"/><Relationship Id="rId1290" Type="http://schemas.openxmlformats.org/officeDocument/2006/relationships/hyperlink" Target="https://legislation.nimonikapp.com/legislations/448498/legislation_texts" TargetMode="External"/><Relationship Id="rId1291" Type="http://schemas.openxmlformats.org/officeDocument/2006/relationships/hyperlink" Target="http://www.assnat.qc.ca/en/travaux-parlementaires/projets-loi/projet-loi-894-42-1.html" TargetMode="External"/><Relationship Id="rId1292" Type="http://schemas.openxmlformats.org/officeDocument/2006/relationships/hyperlink" Target="https://legislation.nimonikapp.com/legislations/448499/legislation_texts" TargetMode="External"/><Relationship Id="rId462" Type="http://schemas.openxmlformats.org/officeDocument/2006/relationships/hyperlink" Target="https://legislation.nimonikapp.com/legislations/4616/legislation_texts" TargetMode="External"/><Relationship Id="rId1293" Type="http://schemas.openxmlformats.org/officeDocument/2006/relationships/hyperlink" Target="http://www.assnat.qc.ca/fr/travaux-parlementaires/projets-loi/projet-loi-894-42-1.html" TargetMode="External"/><Relationship Id="rId461" Type="http://schemas.openxmlformats.org/officeDocument/2006/relationships/hyperlink" Target="https://canlii.ca/t/8rsq" TargetMode="External"/><Relationship Id="rId1294" Type="http://schemas.openxmlformats.org/officeDocument/2006/relationships/hyperlink" Target="https://legislation.nimonikapp.com/legislations/451019/legislation_texts" TargetMode="External"/><Relationship Id="rId460" Type="http://schemas.openxmlformats.org/officeDocument/2006/relationships/hyperlink" Target="https://legislation.nimonikapp.com/legislations/4607/legislation_texts" TargetMode="External"/><Relationship Id="rId1295" Type="http://schemas.openxmlformats.org/officeDocument/2006/relationships/hyperlink" Target="https://canlii.ca/t/88qh" TargetMode="External"/><Relationship Id="rId1296" Type="http://schemas.openxmlformats.org/officeDocument/2006/relationships/hyperlink" Target="https://laws.gnb.ca/en/showfulldoc/cs/B-4.1//20220103" TargetMode="External"/><Relationship Id="rId466" Type="http://schemas.openxmlformats.org/officeDocument/2006/relationships/hyperlink" Target="https://legislation.nimonikapp.com/legislations/4623/legislation_texts" TargetMode="External"/><Relationship Id="rId1297" Type="http://schemas.openxmlformats.org/officeDocument/2006/relationships/hyperlink" Target="https://legislation.nimonikapp.com/legislations/451024/legislation_texts" TargetMode="External"/><Relationship Id="rId465" Type="http://schemas.openxmlformats.org/officeDocument/2006/relationships/hyperlink" Target="https://canlii.ca/t/8252" TargetMode="External"/><Relationship Id="rId1298" Type="http://schemas.openxmlformats.org/officeDocument/2006/relationships/hyperlink" Target="https://canlii.ca/t/891j" TargetMode="External"/><Relationship Id="rId464" Type="http://schemas.openxmlformats.org/officeDocument/2006/relationships/hyperlink" Target="https://legislation.nimonikapp.com/legislations/4622/legislation_texts" TargetMode="External"/><Relationship Id="rId1299" Type="http://schemas.openxmlformats.org/officeDocument/2006/relationships/hyperlink" Target="https://laws.gnb.ca/en/showfulldoc/cr/86-191//20220103" TargetMode="External"/><Relationship Id="rId463" Type="http://schemas.openxmlformats.org/officeDocument/2006/relationships/hyperlink" Target="https://canlii.ca/t/8s1f" TargetMode="External"/><Relationship Id="rId459" Type="http://schemas.openxmlformats.org/officeDocument/2006/relationships/hyperlink" Target="https://canlii.ca/t/8rsl" TargetMode="External"/><Relationship Id="rId458" Type="http://schemas.openxmlformats.org/officeDocument/2006/relationships/hyperlink" Target="https://legislation.nimonikapp.com/legislations/4606/legislation_texts" TargetMode="External"/><Relationship Id="rId457" Type="http://schemas.openxmlformats.org/officeDocument/2006/relationships/hyperlink" Target="https://canlii.ca/t/8rsp" TargetMode="External"/><Relationship Id="rId456" Type="http://schemas.openxmlformats.org/officeDocument/2006/relationships/hyperlink" Target="https://legislation.nimonikapp.com/legislations/4605/legislation_texts" TargetMode="External"/><Relationship Id="rId1280" Type="http://schemas.openxmlformats.org/officeDocument/2006/relationships/hyperlink" Target="https://canadagazetteducanada.gc.ca/rp-pr/p1/2021/2021-07-24/pdf/g1-15530.pdf" TargetMode="External"/><Relationship Id="rId1281" Type="http://schemas.openxmlformats.org/officeDocument/2006/relationships/hyperlink" Target="https://legislation.nimonikapp.com/legislations/440361/legislation_texts" TargetMode="External"/><Relationship Id="rId451" Type="http://schemas.openxmlformats.org/officeDocument/2006/relationships/hyperlink" Target="https://legislation.nimonikapp.com/legislations/4504/legislation_texts" TargetMode="External"/><Relationship Id="rId1282" Type="http://schemas.openxmlformats.org/officeDocument/2006/relationships/hyperlink" Target="https://canadagazetteducanada.gc.ca/rp-pr/p1/2021/2021-07-24/html/reg1-fra.html" TargetMode="External"/><Relationship Id="rId450" Type="http://schemas.openxmlformats.org/officeDocument/2006/relationships/hyperlink" Target="https://www.canlii.org/en/ab/laws/stat/rsa-2000-c-o-7/latest/rsa-2000-c-o-7.html" TargetMode="External"/><Relationship Id="rId1283" Type="http://schemas.openxmlformats.org/officeDocument/2006/relationships/hyperlink" Target="https://canadagazetteducanada.gc.ca/rp-pr/p1/2021/2021-07-24/pdf/g1-15530.pdf" TargetMode="External"/><Relationship Id="rId1284" Type="http://schemas.openxmlformats.org/officeDocument/2006/relationships/hyperlink" Target="https://legislation.nimonikapp.com/legislations/440362/legislation_texts" TargetMode="External"/><Relationship Id="rId1285" Type="http://schemas.openxmlformats.org/officeDocument/2006/relationships/hyperlink" Target="https://canadagazetteducanada.gc.ca/rp-pr/p1/2021/2021-07-24/html/reg2-eng.html" TargetMode="External"/><Relationship Id="rId455" Type="http://schemas.openxmlformats.org/officeDocument/2006/relationships/hyperlink" Target="https://canlii.ca/t/8rsn" TargetMode="External"/><Relationship Id="rId1286" Type="http://schemas.openxmlformats.org/officeDocument/2006/relationships/hyperlink" Target="https://canadagazetteducanada.gc.ca/rp-pr/p1/2021/2021-07-24/pdf/g1-15530.pdf" TargetMode="External"/><Relationship Id="rId454" Type="http://schemas.openxmlformats.org/officeDocument/2006/relationships/hyperlink" Target="https://www.canlii.org/en/ab/laws/stat/rsa-2000-c-e-10/latest/rsa-2000-c-e-10.html" TargetMode="External"/><Relationship Id="rId1287" Type="http://schemas.openxmlformats.org/officeDocument/2006/relationships/hyperlink" Target="https://legislation.nimonikapp.com/legislations/440363/legislation_texts" TargetMode="External"/><Relationship Id="rId453" Type="http://schemas.openxmlformats.org/officeDocument/2006/relationships/hyperlink" Target="https://legislation.nimonikapp.com/legislations/4505/legislation_texts" TargetMode="External"/><Relationship Id="rId1288" Type="http://schemas.openxmlformats.org/officeDocument/2006/relationships/hyperlink" Target="https://canadagazetteducanada.gc.ca/rp-pr/p1/2021/2021-07-24/html/reg2-fra.html" TargetMode="External"/><Relationship Id="rId452" Type="http://schemas.openxmlformats.org/officeDocument/2006/relationships/hyperlink" Target="https://canlii.ca/t/83s4" TargetMode="External"/><Relationship Id="rId1289" Type="http://schemas.openxmlformats.org/officeDocument/2006/relationships/hyperlink" Target="https://canadagazetteducanada.gc.ca/rp-pr/p1/2021/2021-07-24/pdf/g1-15530.pdf" TargetMode="External"/><Relationship Id="rId491" Type="http://schemas.openxmlformats.org/officeDocument/2006/relationships/hyperlink" Target="https://legislation.nimonikapp.com/legislations/4653/legislation_texts" TargetMode="External"/><Relationship Id="rId490" Type="http://schemas.openxmlformats.org/officeDocument/2006/relationships/hyperlink" Target="https://canlii.ca/t/82lg" TargetMode="External"/><Relationship Id="rId489" Type="http://schemas.openxmlformats.org/officeDocument/2006/relationships/hyperlink" Target="https://legislation.nimonikapp.com/legislations/4635/legislation_texts" TargetMode="External"/><Relationship Id="rId484" Type="http://schemas.openxmlformats.org/officeDocument/2006/relationships/hyperlink" Target="https://static.aer.ca/prd/documents/directives/Directive079.pdf" TargetMode="External"/><Relationship Id="rId483" Type="http://schemas.openxmlformats.org/officeDocument/2006/relationships/hyperlink" Target="https://legislation.nimonikapp.com/legislations/4632/legislation_texts" TargetMode="External"/><Relationship Id="rId482" Type="http://schemas.openxmlformats.org/officeDocument/2006/relationships/hyperlink" Target="http://www.aer.ca/documents/directives/Directive074.pdf" TargetMode="External"/><Relationship Id="rId481" Type="http://schemas.openxmlformats.org/officeDocument/2006/relationships/hyperlink" Target="https://static.aer.ca/prd/documents/directives/Directive060.pdf" TargetMode="External"/><Relationship Id="rId488" Type="http://schemas.openxmlformats.org/officeDocument/2006/relationships/hyperlink" Target="https://static.aer.ca/prd/documents/directives/Directive082.pdf" TargetMode="External"/><Relationship Id="rId487" Type="http://schemas.openxmlformats.org/officeDocument/2006/relationships/hyperlink" Target="https://legislation.nimonikapp.com/legislations/4634/legislation_texts" TargetMode="External"/><Relationship Id="rId486" Type="http://schemas.openxmlformats.org/officeDocument/2006/relationships/hyperlink" Target="https://static.aer.ca/prd/documents/directives/Directive081.pdf" TargetMode="External"/><Relationship Id="rId485" Type="http://schemas.openxmlformats.org/officeDocument/2006/relationships/hyperlink" Target="https://legislation.nimonikapp.com/legislations/4633/legislation_texts" TargetMode="External"/><Relationship Id="rId480" Type="http://schemas.openxmlformats.org/officeDocument/2006/relationships/hyperlink" Target="https://legislation.nimonikapp.com/legislations/4630/legislation_texts" TargetMode="External"/><Relationship Id="rId479" Type="http://schemas.openxmlformats.org/officeDocument/2006/relationships/hyperlink" Target="https://static.aer.ca/prd/documents/directives/Directive058.pdf" TargetMode="External"/><Relationship Id="rId478" Type="http://schemas.openxmlformats.org/officeDocument/2006/relationships/hyperlink" Target="https://legislation.nimonikapp.com/legislations/4629/legislation_texts" TargetMode="External"/><Relationship Id="rId473" Type="http://schemas.openxmlformats.org/officeDocument/2006/relationships/hyperlink" Target="https://static.aer.ca/prd/documents/directives/Directive051.pdf" TargetMode="External"/><Relationship Id="rId472" Type="http://schemas.openxmlformats.org/officeDocument/2006/relationships/hyperlink" Target="https://legislation.nimonikapp.com/legislations/4626/legislation_texts" TargetMode="External"/><Relationship Id="rId471" Type="http://schemas.openxmlformats.org/officeDocument/2006/relationships/hyperlink" Target="https://static.aer.ca/prd/documents/directives/Directive050.pdf" TargetMode="External"/><Relationship Id="rId470" Type="http://schemas.openxmlformats.org/officeDocument/2006/relationships/hyperlink" Target="https://legislation.nimonikapp.com/legislations/4625/legislation_texts" TargetMode="External"/><Relationship Id="rId477" Type="http://schemas.openxmlformats.org/officeDocument/2006/relationships/hyperlink" Target="https://static.aer.ca/prd/documents/directives/directive-056.pdf" TargetMode="External"/><Relationship Id="rId476" Type="http://schemas.openxmlformats.org/officeDocument/2006/relationships/hyperlink" Target="https://legislation.nimonikapp.com/legislations/4628/legislation_texts" TargetMode="External"/><Relationship Id="rId475" Type="http://schemas.openxmlformats.org/officeDocument/2006/relationships/hyperlink" Target="https://static.aer.ca/prd/documents/directives/Directive071.pdf" TargetMode="External"/><Relationship Id="rId474" Type="http://schemas.openxmlformats.org/officeDocument/2006/relationships/hyperlink" Target="https://legislation.nimonikapp.com/legislations/4627/legislation_texts" TargetMode="External"/><Relationship Id="rId1257" Type="http://schemas.openxmlformats.org/officeDocument/2006/relationships/hyperlink" Target="https://legislation.nimonikapp.com/legislations/429174/legislation_texts" TargetMode="External"/><Relationship Id="rId1258" Type="http://schemas.openxmlformats.org/officeDocument/2006/relationships/hyperlink" Target="http://publications.gc.ca/collections/collection_2021/ongc-cgsb/P29-003-023-2020-1-fra.pdf" TargetMode="External"/><Relationship Id="rId1259" Type="http://schemas.openxmlformats.org/officeDocument/2006/relationships/hyperlink" Target="http://www.publications.gc.ca/site/fra/9.892307/publication.html" TargetMode="External"/><Relationship Id="rId426" Type="http://schemas.openxmlformats.org/officeDocument/2006/relationships/hyperlink" Target="https://www.canlii.org/en/yk/laws/stat/rsy-2002-c-162/latest/rsy-2002-c-162.html" TargetMode="External"/><Relationship Id="rId425" Type="http://schemas.openxmlformats.org/officeDocument/2006/relationships/hyperlink" Target="https://canlii.ca/t/8s26" TargetMode="External"/><Relationship Id="rId424" Type="http://schemas.openxmlformats.org/officeDocument/2006/relationships/hyperlink" Target="https://canlii.ca/t/8v39" TargetMode="External"/><Relationship Id="rId423" Type="http://schemas.openxmlformats.org/officeDocument/2006/relationships/hyperlink" Target="https://www.canlii.org/en/nb/laws/stat/snb-1976-c-o-2.1/latest/snb-1976-c-o-2.1.html" TargetMode="External"/><Relationship Id="rId429" Type="http://schemas.openxmlformats.org/officeDocument/2006/relationships/hyperlink" Target="https://www.ic.gc.ca/eic/site/mc-mc.nsf/fra/lm00034.html" TargetMode="External"/><Relationship Id="rId428" Type="http://schemas.openxmlformats.org/officeDocument/2006/relationships/hyperlink" Target="https://www.ic.gc.ca/eic/site/mc-mc.nsf/eng/lm00034.html" TargetMode="External"/><Relationship Id="rId427" Type="http://schemas.openxmlformats.org/officeDocument/2006/relationships/hyperlink" Target="https://legislation.nimonikapp.com/legislations/4403/legislation_texts" TargetMode="External"/><Relationship Id="rId1250" Type="http://schemas.openxmlformats.org/officeDocument/2006/relationships/hyperlink" Target="https://legislation.nimonikapp.com/legislations/423579/legislation_texts" TargetMode="External"/><Relationship Id="rId1251" Type="http://schemas.openxmlformats.org/officeDocument/2006/relationships/hyperlink" Target="https://www.csagroup.org/store/product/CSA%20Z246.1%3A21/" TargetMode="External"/><Relationship Id="rId1252" Type="http://schemas.openxmlformats.org/officeDocument/2006/relationships/hyperlink" Target="https://legislation.nimonikapp.com/legislations/423580/legislation_texts" TargetMode="External"/><Relationship Id="rId422" Type="http://schemas.openxmlformats.org/officeDocument/2006/relationships/hyperlink" Target="https://legislation.nimonikapp.com/legislations/4322/legislation_texts" TargetMode="External"/><Relationship Id="rId1253" Type="http://schemas.openxmlformats.org/officeDocument/2006/relationships/hyperlink" Target="https://www.csagroup.org/fr/store/product/CSA%20Z246.1%3A21/" TargetMode="External"/><Relationship Id="rId421" Type="http://schemas.openxmlformats.org/officeDocument/2006/relationships/hyperlink" Target="https://www.cer-rec.gc.ca/sftnvrnmnt/sft/dvsr/sftdvsr/index-fra.html" TargetMode="External"/><Relationship Id="rId1254" Type="http://schemas.openxmlformats.org/officeDocument/2006/relationships/hyperlink" Target="https://legislation.nimonikapp.com/legislations/429173/legislation_texts" TargetMode="External"/><Relationship Id="rId420" Type="http://schemas.openxmlformats.org/officeDocument/2006/relationships/hyperlink" Target="https://www.cer-rec.gc.ca/sftnvrnmnt/sft/dvsr/sftdvsr/2016/2016-02-05gnrlrdr-fra.html" TargetMode="External"/><Relationship Id="rId1255" Type="http://schemas.openxmlformats.org/officeDocument/2006/relationships/hyperlink" Target="http://publications.gc.ca/collections/collection_2021/ongc-cgsb/P29-003-023-2020-1-eng.pdf" TargetMode="External"/><Relationship Id="rId1256" Type="http://schemas.openxmlformats.org/officeDocument/2006/relationships/hyperlink" Target="http://www.publications.gc.ca/site/eng/9.892307/publication.html" TargetMode="External"/><Relationship Id="rId1246" Type="http://schemas.openxmlformats.org/officeDocument/2006/relationships/hyperlink" Target="https://legislation.nimonikapp.com/legislations/420261/legislation_texts" TargetMode="External"/><Relationship Id="rId1247" Type="http://schemas.openxmlformats.org/officeDocument/2006/relationships/hyperlink" Target="https://canlii.ca/t/bb3s" TargetMode="External"/><Relationship Id="rId1248" Type="http://schemas.openxmlformats.org/officeDocument/2006/relationships/hyperlink" Target="https://www.bclaws.gov.bc.ca/civix/document/id/regulationbulletin/regulationbulletin/r0050_2021" TargetMode="External"/><Relationship Id="rId1249" Type="http://schemas.openxmlformats.org/officeDocument/2006/relationships/hyperlink" Target="https://www.bclaws.gov.bc.ca/civix/document/id/regulationbulletin/regulationbulletin/2021bull08" TargetMode="External"/><Relationship Id="rId415" Type="http://schemas.openxmlformats.org/officeDocument/2006/relationships/hyperlink" Target="https://canlii.ca/t/8tmm" TargetMode="External"/><Relationship Id="rId899" Type="http://schemas.openxmlformats.org/officeDocument/2006/relationships/hyperlink" Target="http://canlii.ca/t/9hfx" TargetMode="External"/><Relationship Id="rId414" Type="http://schemas.openxmlformats.org/officeDocument/2006/relationships/hyperlink" Target="https://legislation.nimonikapp.com/legislations/4279/legislation_texts" TargetMode="External"/><Relationship Id="rId898" Type="http://schemas.openxmlformats.org/officeDocument/2006/relationships/hyperlink" Target="https://legislation.nimonikapp.com/legislations/213509/legislation_texts" TargetMode="External"/><Relationship Id="rId413" Type="http://schemas.openxmlformats.org/officeDocument/2006/relationships/hyperlink" Target="https://www.canlii.org/fr/ca/legis/regl/dors-2009-316/derniere/dors-2009-316.html" TargetMode="External"/><Relationship Id="rId897" Type="http://schemas.openxmlformats.org/officeDocument/2006/relationships/hyperlink" Target="https://publications.saskatchewan.ca/" TargetMode="External"/><Relationship Id="rId412" Type="http://schemas.openxmlformats.org/officeDocument/2006/relationships/hyperlink" Target="https://legislation.nimonikapp.com/legislations/439533/legislation_texts" TargetMode="External"/><Relationship Id="rId896" Type="http://schemas.openxmlformats.org/officeDocument/2006/relationships/hyperlink" Target="https://publications.saskatchewan.ca/api/v1/products/105418/formats/117680/download" TargetMode="External"/><Relationship Id="rId419" Type="http://schemas.openxmlformats.org/officeDocument/2006/relationships/hyperlink" Target="https://www.cer-rec.gc.ca/sftnvrnmnt/sft/dvsr/sftdvsr/index-eng.html" TargetMode="External"/><Relationship Id="rId418" Type="http://schemas.openxmlformats.org/officeDocument/2006/relationships/hyperlink" Target="https://www.cer-rec.gc.ca/sftnvrnmnt/sft/dvsr/sftdvsr/2016/2016-02-05gnrlrdr-eng.html" TargetMode="External"/><Relationship Id="rId417" Type="http://schemas.openxmlformats.org/officeDocument/2006/relationships/hyperlink" Target="https://canlii.ca/t/djqz" TargetMode="External"/><Relationship Id="rId416" Type="http://schemas.openxmlformats.org/officeDocument/2006/relationships/hyperlink" Target="https://legislation.nimonikapp.com/legislations/173110/legislation_texts" TargetMode="External"/><Relationship Id="rId891" Type="http://schemas.openxmlformats.org/officeDocument/2006/relationships/hyperlink" Target="https://legislation.nimonikapp.com/legislations/213502/legislation_texts" TargetMode="External"/><Relationship Id="rId890" Type="http://schemas.openxmlformats.org/officeDocument/2006/relationships/hyperlink" Target="https://www.bcogc.ca/node/5916/download" TargetMode="External"/><Relationship Id="rId1240" Type="http://schemas.openxmlformats.org/officeDocument/2006/relationships/hyperlink" Target="https://static.aer.ca/prd/documents/directives/directive-087.pdf" TargetMode="External"/><Relationship Id="rId1241" Type="http://schemas.openxmlformats.org/officeDocument/2006/relationships/hyperlink" Target="https://www.aer.ca/regulating-development/rules-and-directives/directives/directive-087" TargetMode="External"/><Relationship Id="rId411" Type="http://schemas.openxmlformats.org/officeDocument/2006/relationships/hyperlink" Target="https://canlii.ca/t/8mnb" TargetMode="External"/><Relationship Id="rId895" Type="http://schemas.openxmlformats.org/officeDocument/2006/relationships/hyperlink" Target="https://legislation.nimonikapp.com/legislations/213503/legislation_texts" TargetMode="External"/><Relationship Id="rId1242" Type="http://schemas.openxmlformats.org/officeDocument/2006/relationships/hyperlink" Target="https://legislation.nimonikapp.com/legislations/420260/legislation_texts" TargetMode="External"/><Relationship Id="rId410" Type="http://schemas.openxmlformats.org/officeDocument/2006/relationships/hyperlink" Target="https://legislation.nimonikapp.com/legislations/4278/legislation_texts" TargetMode="External"/><Relationship Id="rId894" Type="http://schemas.openxmlformats.org/officeDocument/2006/relationships/hyperlink" Target="https://nimonikapp.com/document_not_available.html" TargetMode="External"/><Relationship Id="rId1243" Type="http://schemas.openxmlformats.org/officeDocument/2006/relationships/hyperlink" Target="https://canlii.ca/t/b9ct" TargetMode="External"/><Relationship Id="rId893" Type="http://schemas.openxmlformats.org/officeDocument/2006/relationships/hyperlink" Target="https://nimonikapp.com/document_not_available.html" TargetMode="External"/><Relationship Id="rId1244" Type="http://schemas.openxmlformats.org/officeDocument/2006/relationships/hyperlink" Target="https://www.bclaws.gov.bc.ca/civix/document/id/regulationbulletin/regulationbulletin/r0048_2021" TargetMode="External"/><Relationship Id="rId892" Type="http://schemas.openxmlformats.org/officeDocument/2006/relationships/hyperlink" Target="https://nimonikapp.com/document_not_available.html" TargetMode="External"/><Relationship Id="rId1245" Type="http://schemas.openxmlformats.org/officeDocument/2006/relationships/hyperlink" Target="https://www.bclaws.gov.bc.ca/civix/document/id/regulationbulletin/regulationbulletin/2021bull08" TargetMode="External"/><Relationship Id="rId1279" Type="http://schemas.openxmlformats.org/officeDocument/2006/relationships/hyperlink" Target="https://canadagazetteducanada.gc.ca/rp-pr/p1/2021/2021-07-24/html/reg1-eng.html" TargetMode="External"/><Relationship Id="rId448" Type="http://schemas.openxmlformats.org/officeDocument/2006/relationships/hyperlink" Target="http://www.qp.alberta.ca/documents/codes/HYDROCARBONS.PDF" TargetMode="External"/><Relationship Id="rId447" Type="http://schemas.openxmlformats.org/officeDocument/2006/relationships/hyperlink" Target="https://legislation.nimonikapp.com/legislations/4469/legislation_texts" TargetMode="External"/><Relationship Id="rId446" Type="http://schemas.openxmlformats.org/officeDocument/2006/relationships/hyperlink" Target="https://static.aer.ca/prd/documents/directives/Directive077.pdf" TargetMode="External"/><Relationship Id="rId445" Type="http://schemas.openxmlformats.org/officeDocument/2006/relationships/hyperlink" Target="https://legislation.nimonikapp.com/legislations/4468/legislation_texts" TargetMode="External"/><Relationship Id="rId449" Type="http://schemas.openxmlformats.org/officeDocument/2006/relationships/hyperlink" Target="https://legislation.nimonikapp.com/legislations/4503/legislation_texts" TargetMode="External"/><Relationship Id="rId1270" Type="http://schemas.openxmlformats.org/officeDocument/2006/relationships/hyperlink" Target="https://legislation.nimonikapp.com/legislations/431969/legislation_texts" TargetMode="External"/><Relationship Id="rId440" Type="http://schemas.openxmlformats.org/officeDocument/2006/relationships/hyperlink" Target="https://legislation.nimonikapp.com/legislations/4462/legislation_texts" TargetMode="External"/><Relationship Id="rId1271" Type="http://schemas.openxmlformats.org/officeDocument/2006/relationships/hyperlink" Target="https://docs.assembly.ab.ca/LADDAR_files/docs/bills/bill/legislature_30/session_2/20200225_bill-072.pdf" TargetMode="External"/><Relationship Id="rId1272" Type="http://schemas.openxmlformats.org/officeDocument/2006/relationships/hyperlink" Target="https://legislation.nimonikapp.com/legislations/435738/legislation_texts" TargetMode="External"/><Relationship Id="rId1273" Type="http://schemas.openxmlformats.org/officeDocument/2006/relationships/hyperlink" Target="https://www.qp.alberta.ca/Documents/AnnualVolumes/2021/P21p51_2021.pdf" TargetMode="External"/><Relationship Id="rId1274" Type="http://schemas.openxmlformats.org/officeDocument/2006/relationships/hyperlink" Target="https://www.qp.alberta.ca/Annual_Volumes.cfm?page=/Documents/AnnualVolumes/2021/P21p51_2021.html" TargetMode="External"/><Relationship Id="rId444" Type="http://schemas.openxmlformats.org/officeDocument/2006/relationships/hyperlink" Target="http://www.aer.ca/documents/directives/Directive019.pdf" TargetMode="External"/><Relationship Id="rId1275" Type="http://schemas.openxmlformats.org/officeDocument/2006/relationships/hyperlink" Target="https://legislation.nimonikapp.com/legislations/436750/legislation_texts" TargetMode="External"/><Relationship Id="rId443" Type="http://schemas.openxmlformats.org/officeDocument/2006/relationships/hyperlink" Target="https://static.aer.ca/prd/documents/directives/Directive055.pdf" TargetMode="External"/><Relationship Id="rId1276" Type="http://schemas.openxmlformats.org/officeDocument/2006/relationships/hyperlink" Target="https://publications.saskatchewan.ca/api/v1/products/113447/formats/127577/download" TargetMode="External"/><Relationship Id="rId442" Type="http://schemas.openxmlformats.org/officeDocument/2006/relationships/hyperlink" Target="https://legislation.nimonikapp.com/legislations/4466/legislation_texts" TargetMode="External"/><Relationship Id="rId1277" Type="http://schemas.openxmlformats.org/officeDocument/2006/relationships/hyperlink" Target="https://publications.saskatchewan.ca/" TargetMode="External"/><Relationship Id="rId441" Type="http://schemas.openxmlformats.org/officeDocument/2006/relationships/hyperlink" Target="https://canlii.ca/t/917p" TargetMode="External"/><Relationship Id="rId1278" Type="http://schemas.openxmlformats.org/officeDocument/2006/relationships/hyperlink" Target="https://legislation.nimonikapp.com/legislations/440360/legislation_texts" TargetMode="External"/><Relationship Id="rId1268" Type="http://schemas.openxmlformats.org/officeDocument/2006/relationships/hyperlink" Target="https://legislation.nimonikapp.com/legislations/431397/legislation_texts" TargetMode="External"/><Relationship Id="rId1269" Type="http://schemas.openxmlformats.org/officeDocument/2006/relationships/hyperlink" Target="https://www.tssa.org/en/fuels/resources/Pipelines-CAD-Dec-8-2020.pdf" TargetMode="External"/><Relationship Id="rId437" Type="http://schemas.openxmlformats.org/officeDocument/2006/relationships/hyperlink" Target="https://static.aer.ca/prd/documents/directives/Directive013.pdf" TargetMode="External"/><Relationship Id="rId436" Type="http://schemas.openxmlformats.org/officeDocument/2006/relationships/hyperlink" Target="https://legislation.nimonikapp.com/legislations/4425/legislation_texts" TargetMode="External"/><Relationship Id="rId435" Type="http://schemas.openxmlformats.org/officeDocument/2006/relationships/hyperlink" Target="https://static.aer.ca/prd/documents/directives/Directive020.pdf" TargetMode="External"/><Relationship Id="rId434" Type="http://schemas.openxmlformats.org/officeDocument/2006/relationships/hyperlink" Target="https://legislation.nimonikapp.com/legislations/4424/legislation_texts" TargetMode="External"/><Relationship Id="rId439" Type="http://schemas.openxmlformats.org/officeDocument/2006/relationships/hyperlink" Target="https://open.alberta.ca/publications/9780778581208" TargetMode="External"/><Relationship Id="rId438" Type="http://schemas.openxmlformats.org/officeDocument/2006/relationships/hyperlink" Target="https://legislation.nimonikapp.com/legislations/4427/legislation_texts" TargetMode="External"/><Relationship Id="rId1260" Type="http://schemas.openxmlformats.org/officeDocument/2006/relationships/hyperlink" Target="https://legislation.nimonikapp.com/legislations/430339/legislation_texts" TargetMode="External"/><Relationship Id="rId1261" Type="http://schemas.openxmlformats.org/officeDocument/2006/relationships/hyperlink" Target="http://www2.publicationsduquebec.gouv.qc.ca/dynamicSearch/telecharge.php?type=1&amp;file=105026.pdf" TargetMode="External"/><Relationship Id="rId1262" Type="http://schemas.openxmlformats.org/officeDocument/2006/relationships/hyperlink" Target="https://legislation.nimonikapp.com/legislations/430340/legislation_texts" TargetMode="External"/><Relationship Id="rId1263" Type="http://schemas.openxmlformats.org/officeDocument/2006/relationships/hyperlink" Target="http://www2.publicationsduquebec.gouv.qc.ca/dynamicSearch/telecharge.php?type=1&amp;file=74742.pdf" TargetMode="External"/><Relationship Id="rId433" Type="http://schemas.openxmlformats.org/officeDocument/2006/relationships/hyperlink" Target="https://static.aer.ca/prd/documents/directives/directive007.pdf" TargetMode="External"/><Relationship Id="rId1264" Type="http://schemas.openxmlformats.org/officeDocument/2006/relationships/hyperlink" Target="https://legislation.nimonikapp.com/legislations/430341/legislation_texts" TargetMode="External"/><Relationship Id="rId432" Type="http://schemas.openxmlformats.org/officeDocument/2006/relationships/hyperlink" Target="https://legislation.nimonikapp.com/legislations/4417/legislation_texts" TargetMode="External"/><Relationship Id="rId1265" Type="http://schemas.openxmlformats.org/officeDocument/2006/relationships/hyperlink" Target="http://www2.publicationsduquebec.gouv.qc.ca/dynamicSearch/telecharge.php?type=1&amp;file=105035.pdf" TargetMode="External"/><Relationship Id="rId431" Type="http://schemas.openxmlformats.org/officeDocument/2006/relationships/hyperlink" Target="https://static.aer.ca/prd/documents/directives/Directive076.pdf" TargetMode="External"/><Relationship Id="rId1266" Type="http://schemas.openxmlformats.org/officeDocument/2006/relationships/hyperlink" Target="https://legislation.nimonikapp.com/legislations/430342/legislation_texts" TargetMode="External"/><Relationship Id="rId430" Type="http://schemas.openxmlformats.org/officeDocument/2006/relationships/hyperlink" Target="https://legislation.nimonikapp.com/legislations/4415/legislation_texts" TargetMode="External"/><Relationship Id="rId1267" Type="http://schemas.openxmlformats.org/officeDocument/2006/relationships/hyperlink" Target="http://www2.publicationsduquebec.gouv.qc.ca/dynamicSearch/telecharge.php?type=1&amp;file=74767.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4" max="4" width="30.38"/>
    <col customWidth="1" min="7" max="7" width="47.38"/>
  </cols>
  <sheetData>
    <row r="1">
      <c r="A1" s="1" t="s">
        <v>0</v>
      </c>
      <c r="B1" s="1" t="s">
        <v>1</v>
      </c>
      <c r="C1" s="1" t="s">
        <v>2</v>
      </c>
      <c r="D1" s="1" t="s">
        <v>3</v>
      </c>
      <c r="E1" s="1" t="s">
        <v>4</v>
      </c>
      <c r="F1" s="1" t="s">
        <v>5</v>
      </c>
      <c r="G1" s="2" t="s">
        <v>6</v>
      </c>
      <c r="H1" s="1" t="s">
        <v>7</v>
      </c>
      <c r="I1" s="1" t="s">
        <v>8</v>
      </c>
      <c r="J1" s="1" t="s">
        <v>9</v>
      </c>
      <c r="K1" s="1" t="s">
        <v>10</v>
      </c>
      <c r="L1" s="1" t="s">
        <v>11</v>
      </c>
      <c r="M1" s="1" t="s">
        <v>12</v>
      </c>
      <c r="N1" s="1" t="s">
        <v>13</v>
      </c>
    </row>
    <row r="2">
      <c r="A2" s="1" t="s">
        <v>14</v>
      </c>
      <c r="B2" s="1" t="s">
        <v>15</v>
      </c>
      <c r="C2" s="1" t="str">
        <f>Vlookup(F2,'Oil &amp; Gas Documents - Canada'!F:M,2,FALSE)</f>
        <v>oil_and_gas</v>
      </c>
      <c r="D2" s="1" t="str">
        <f>Vlookup(F2,'Oil &amp; Gas Documents - Canada'!F:N,9,FALSE)</f>
        <v>1.1 Purpose
This Directive sets out the Ministry of Energy and Resources (ER)’s technical requirements for the design, construction, operation, modification, discontinuation and abandonment of pipelines.
This Directive also contains application requirements for:
• pipeline applications submitted on or after January 20, 2020,
• registering a legacy licence, and
• retroactive licensing of designated pipelines, including flowlines.
1.3 Application and Interpretation
This Directive applies to all pipelines that are subject to the jurisdiction of the PA. Appendices 3 and 4 of this Directive provide interpretations of technical requirements for pipelines that are exempt from licensing. Please refer to subsection 3(2) of the PA and Part 4 of the PALR for pipelines that are exempt from licensing.
This Directive sets out standards for the design and construction of pipelines. If a lesser standard was permitted at the time of issuing a legacy licence or at the time of constructing a designated pipeline, that lesser standard is acceptable.
1.5 Other Regulatory Requirements
A pipeline licence or any other approval issued by ER is approval for matters that fall within the jurisdiction of the PA. Applicants for a pipeline licence are advised to contact other agencies and government ministries to determine if other regulatory requirements related to the design, construction and operation of a proposed pipeline apply.</v>
      </c>
      <c r="E2" s="1" t="s">
        <v>16</v>
      </c>
      <c r="F2" s="1" t="s">
        <v>17</v>
      </c>
      <c r="G2" s="3"/>
      <c r="H2" s="4" t="str">
        <f>HYPERLINK("http://nimonikapp.com/legislations/386865","http://nimonikapp.com/legislations/386865")</f>
        <v>http://nimonikapp.com/legislations/386865</v>
      </c>
      <c r="I2" s="1" t="s">
        <v>18</v>
      </c>
      <c r="L2" s="5">
        <v>44774.0</v>
      </c>
      <c r="N2" s="5">
        <v>44894.0</v>
      </c>
    </row>
    <row r="3">
      <c r="A3" s="1" t="s">
        <v>14</v>
      </c>
      <c r="B3" s="1" t="s">
        <v>15</v>
      </c>
      <c r="C3" s="1" t="str">
        <f>Vlookup(F3,'Oil &amp; Gas Documents - Canada'!F:M,2,FALSE)</f>
        <v>oil_and_gas</v>
      </c>
      <c r="D3" s="1" t="str">
        <f>Vlookup(F3,'Oil &amp; Gas Documents - Canada'!F:N,9,FALSE)</f>
        <v>1. Introduction
The purpose of this Directive is to outline the requirements for a Phase II Environmental Site Assessment and is intended to improve the consistency of reports submitted to the Ministry of Energy and Resources (ER). Information on Phase I Environmental Site Assessment requirements is provided in Directive PNG016: Acknowledgement of Reclamation Requirements (Directive PNG016).
This Directive applies to the environmental site assessment process as it relates to spills, incidents and historical contamination resulting from wells, facilities and flowlines as defined in The Oil and Gas Conservation Regulations, 2012 (OGCR).
This Directive replaces the Saskatchewan Petroleum Industry/Government Environmental Committee (SPIGEC) Guideline No. 4, Saskatchewan Upstream Petroleum Sites Remediation Guidelines and SPIGEC Guideline No. 5, Environmental Site Assessment Procedures for Upstream Petroleum Sites. Users of this document are reminded that the extent of assessment and investigation needed to adequately understand the conditions at a given site should be commensurate with the complexity of the situation.
This Directive incorporates an approach for characterizing impacted sites using tiered endpoints, all of which are intended to be protective of human health and the environment. Assessors have the option to use the endpoint most appropriate for the site as long as compliance with the regulatory requirements is maintained.
7.2 Scope
In addition to confirming or denying the presence of contamination, the Phase II ESA should be designed to delineate contamination and evaluate the migration potential and exposure possibilities (where applicable). To this end, the following information should be considered:
• an overview of historical, current and planned future land uses,
• detailed description of the site and its physical setting to form hypotheses about the release and ultimate fate of contamination,
• information on climate and meteorological conditions that may influence contamination distribution and migration,
• soil texture,
• groundwater presence/absence or characterization,
• sources of contamination at the site and the media that may be affected,
• the distribution of chemicals within each medium, including information on the concentration,
• proximity of contamination to human and ecological receptors,
• how contaminants may be migrating from the sources, the media and pathways through which migration and exposure of potential human or environmental receptors could occur, and information needed to interpret contaminant migration (soil properties, geology, hydrogeology, hydrology and possible preferential pathways),
• where relevant, information pertinent to soil vapor intrusion into buildings, including construction features of buildings,
• presence of conditions warranting a Tier 2 approach as described in the ENV Endpoint Selection Standard or Directive PNG045, and
• presence of conditions requiring a Tier 3 approach as described in the ENV Endpoint Selection Standard or Directive PNG045.
7.3 General Records
Every person required to conduct an ESA must ensure records are kept and retained for at least seven years from the date the record was created.</v>
      </c>
      <c r="E3" s="1" t="s">
        <v>19</v>
      </c>
      <c r="F3" s="1" t="s">
        <v>20</v>
      </c>
      <c r="G3" s="3"/>
      <c r="H3" s="4" t="str">
        <f>HYPERLINK("http://nimonikapp.com/legislations/386864","http://nimonikapp.com/legislations/386864")</f>
        <v>http://nimonikapp.com/legislations/386864</v>
      </c>
      <c r="I3" s="1" t="s">
        <v>18</v>
      </c>
      <c r="L3" s="5">
        <v>44743.0</v>
      </c>
      <c r="N3" s="5">
        <v>44894.0</v>
      </c>
    </row>
    <row r="4">
      <c r="A4" s="1" t="s">
        <v>21</v>
      </c>
      <c r="B4" s="1" t="s">
        <v>15</v>
      </c>
      <c r="C4" s="1" t="str">
        <f>Vlookup(F4,'Oil &amp; Gas Documents - Canada'!F:M,2,FALSE)</f>
        <v>oil_and_gas, other</v>
      </c>
      <c r="D4" s="1" t="str">
        <f>Vlookup(F4,'Oil &amp; Gas Documents - Canada'!F:N,9,FALSE)</f>
        <v>2 Holistic Licensee Assessment
As outlined in Directive 088, the holistic assessment includes multiple factors. The licensee capability assessment (LCA) is a critical one. Additional factors are outlined in section 4.5 of Directive 067, and the AER may consider any other factors that would be appropriate in the circumstance. These factors include other inspection, audit, or compliance elements not included in the LCA and information provided to the AER through complaints. Section 4.2 outlines other factors that may be considered related to transfer applications. 
3.1 Closure Spend Target Overview
Closure spend targets are part of the Inventory Reduction Program. A significant portion of industry inactive liabilities are not being sufficiently managed. Closure spend targets will create a minimum obligation for all licensees to abandon, remediate, and reclaim their oil and gas sites. 
Liability associated with inactive wells and facilities are used to determine closure targets. Licensees can refer to the following sources to view the life cycle status of their assets:
• A list of inactive wells is available through the Inactive Well Licence List report available on the Directive 013: Suspension Requirements for Wells webpage.
• A list of all inactive facilities is available in OneStop.
Inactive liability is estimated using Directive 011: Licensee Liability Rating (LLR) Program: Updated Industry Parameters and Liability Costs and site-specific liability assessments for sites with an inactive life cycle status.
The industry-wide closure spend target is based on inactive liability and historical closure spending for previous years. The industry-wide target and forecasts for the next five years are available on the AER website and are updated annually. 
4.1 Applications
There are two types of licence transfer applications that can be submitted to the AER:
• Applications to transfer licences between licensees are submitted by both parties through the designated information submission system.
• Applications to transfer licences that are part of an insolvency proceeding or a company that is under the care of the Orphan Well Association are facilitated by the AER in a process referred to as a regulator-directed transfer (RDT). Contact Directive088Transfers@aer.ca to initiate an RDT application.
Licences statuses that are eligible to be included in a licence transfer application are provided in Directive 088. Previously, reclamation certified and reclamation exempt licences could not be part of a transfer application. This has now changed, and the AER may apply discretion to require licensees to include the transfer of reclamation certified and reclamation exempt licences that are part of an insolvency proceeding, corporate clean out, or white map sales transaction, for example. The AER encourages licensees to contact the AER to discuss their specific circumstances with respect to reclamation certified and reclamation exempt licences.
Once registered in the designated information submission system, a licence transfer application is posted on the Public Notice of Application tool. A decision on the application will not be issued until the period for filing a statement of concern, as specified in the public notice of application, has lapsed.</v>
      </c>
      <c r="E4" s="1" t="s">
        <v>22</v>
      </c>
      <c r="F4" s="1" t="s">
        <v>23</v>
      </c>
      <c r="G4" s="3"/>
      <c r="H4" s="4" t="str">
        <f>HYPERLINK("http://nimonikapp.com/legislations/386855","http://nimonikapp.com/legislations/386855")</f>
        <v>http://nimonikapp.com/legislations/386855</v>
      </c>
      <c r="I4" s="1" t="s">
        <v>18</v>
      </c>
      <c r="L4" s="5">
        <v>44684.0</v>
      </c>
      <c r="N4" s="5">
        <v>44894.0</v>
      </c>
    </row>
    <row r="5">
      <c r="A5" s="1" t="s">
        <v>24</v>
      </c>
      <c r="B5" s="1" t="s">
        <v>25</v>
      </c>
      <c r="C5" s="1" t="s">
        <v>26</v>
      </c>
      <c r="D5" s="1" t="str">
        <f>Vlookup(F5,'Oil &amp; Gas Documents - Canada'!F:N,9,FALSE)</f>
        <v>#N/A</v>
      </c>
      <c r="E5" s="1" t="s">
        <v>27</v>
      </c>
      <c r="F5" s="1" t="s">
        <v>28</v>
      </c>
      <c r="G5" s="2" t="s">
        <v>29</v>
      </c>
      <c r="H5" s="4" t="str">
        <f>HYPERLINK("http://nimonikapp.com/legislations/14335","http://nimonikapp.com/legislations/14335")</f>
        <v>http://nimonikapp.com/legislations/14335</v>
      </c>
      <c r="I5" s="1" t="s">
        <v>18</v>
      </c>
      <c r="J5" s="1" t="s">
        <v>30</v>
      </c>
      <c r="K5" s="1" t="s">
        <v>31</v>
      </c>
      <c r="L5" s="5">
        <v>44889.0</v>
      </c>
      <c r="M5" s="5">
        <v>44889.0</v>
      </c>
      <c r="N5" s="5">
        <v>44894.0</v>
      </c>
    </row>
    <row r="6">
      <c r="A6" s="1" t="s">
        <v>24</v>
      </c>
      <c r="B6" s="1" t="s">
        <v>25</v>
      </c>
      <c r="C6" s="1" t="s">
        <v>26</v>
      </c>
      <c r="D6" s="1" t="str">
        <f>Vlookup(F6,'Oil &amp; Gas Documents - Canada'!F:N,9,FALSE)</f>
        <v>#N/A</v>
      </c>
      <c r="E6" s="1" t="s">
        <v>32</v>
      </c>
      <c r="F6" s="1" t="s">
        <v>33</v>
      </c>
      <c r="G6" s="2" t="s">
        <v>29</v>
      </c>
      <c r="H6" s="4" t="str">
        <f>HYPERLINK("http://nimonikapp.com/legislations/100","http://nimonikapp.com/legislations/100")</f>
        <v>http://nimonikapp.com/legislations/100</v>
      </c>
      <c r="I6" s="1" t="s">
        <v>18</v>
      </c>
      <c r="J6" s="1" t="s">
        <v>30</v>
      </c>
      <c r="K6" s="1" t="s">
        <v>31</v>
      </c>
      <c r="L6" s="5">
        <v>44889.0</v>
      </c>
      <c r="M6" s="5">
        <v>44889.0</v>
      </c>
      <c r="N6" s="5">
        <v>44894.0</v>
      </c>
    </row>
    <row r="7">
      <c r="A7" s="1" t="s">
        <v>24</v>
      </c>
      <c r="B7" s="1" t="s">
        <v>25</v>
      </c>
      <c r="C7" s="1" t="s">
        <v>26</v>
      </c>
      <c r="D7" s="1" t="str">
        <f>Vlookup(F7,'Oil &amp; Gas Documents - Canada'!F:N,9,FALSE)</f>
        <v>#N/A</v>
      </c>
      <c r="E7" s="1" t="s">
        <v>34</v>
      </c>
      <c r="F7" s="1" t="s">
        <v>35</v>
      </c>
      <c r="G7" s="2" t="s">
        <v>29</v>
      </c>
      <c r="H7" s="4" t="str">
        <f>HYPERLINK("http://nimonikapp.com/legislations/10220","http://nimonikapp.com/legislations/10220")</f>
        <v>http://nimonikapp.com/legislations/10220</v>
      </c>
      <c r="I7" s="1" t="s">
        <v>18</v>
      </c>
      <c r="J7" s="1" t="s">
        <v>30</v>
      </c>
      <c r="K7" s="1" t="s">
        <v>31</v>
      </c>
      <c r="L7" s="5">
        <v>44889.0</v>
      </c>
      <c r="M7" s="5">
        <v>44889.0</v>
      </c>
      <c r="N7" s="5">
        <v>44894.0</v>
      </c>
    </row>
    <row r="8">
      <c r="A8" s="1" t="s">
        <v>24</v>
      </c>
      <c r="B8" s="1" t="s">
        <v>25</v>
      </c>
      <c r="C8" s="1" t="s">
        <v>26</v>
      </c>
      <c r="D8" s="1" t="str">
        <f>Vlookup(F8,'Oil &amp; Gas Documents - Canada'!F:N,9,FALSE)</f>
        <v>#N/A</v>
      </c>
      <c r="E8" s="1" t="s">
        <v>36</v>
      </c>
      <c r="F8" s="1" t="s">
        <v>37</v>
      </c>
      <c r="G8" s="2" t="s">
        <v>29</v>
      </c>
      <c r="H8" s="4" t="str">
        <f>HYPERLINK("http://nimonikapp.com/legislations/6763","http://nimonikapp.com/legislations/6763")</f>
        <v>http://nimonikapp.com/legislations/6763</v>
      </c>
      <c r="I8" s="1" t="s">
        <v>18</v>
      </c>
      <c r="J8" s="1" t="s">
        <v>30</v>
      </c>
      <c r="K8" s="1" t="s">
        <v>31</v>
      </c>
      <c r="L8" s="5">
        <v>44889.0</v>
      </c>
      <c r="M8" s="5">
        <v>44889.0</v>
      </c>
      <c r="N8" s="5">
        <v>44894.0</v>
      </c>
    </row>
    <row r="9">
      <c r="A9" s="1" t="s">
        <v>24</v>
      </c>
      <c r="B9" s="1" t="s">
        <v>25</v>
      </c>
      <c r="C9" s="1" t="s">
        <v>26</v>
      </c>
      <c r="D9" s="1" t="str">
        <f>Vlookup(F9,'Oil &amp; Gas Documents - Canada'!F:N,9,FALSE)</f>
        <v>#N/A</v>
      </c>
      <c r="E9" s="1" t="s">
        <v>38</v>
      </c>
      <c r="F9" s="1" t="s">
        <v>39</v>
      </c>
      <c r="G9" s="2" t="s">
        <v>29</v>
      </c>
      <c r="H9" s="4" t="str">
        <f>HYPERLINK("http://nimonikapp.com/legislations/93","http://nimonikapp.com/legislations/93")</f>
        <v>http://nimonikapp.com/legislations/93</v>
      </c>
      <c r="I9" s="1" t="s">
        <v>18</v>
      </c>
      <c r="J9" s="1" t="s">
        <v>30</v>
      </c>
      <c r="K9" s="1" t="s">
        <v>31</v>
      </c>
      <c r="L9" s="5">
        <v>44889.0</v>
      </c>
      <c r="M9" s="5">
        <v>44889.0</v>
      </c>
      <c r="N9" s="5">
        <v>44894.0</v>
      </c>
    </row>
    <row r="10">
      <c r="A10" s="1" t="s">
        <v>24</v>
      </c>
      <c r="B10" s="1" t="s">
        <v>25</v>
      </c>
      <c r="C10" s="1" t="s">
        <v>26</v>
      </c>
      <c r="D10" s="1" t="str">
        <f>Vlookup(F10,'Oil &amp; Gas Documents - Canada'!F:N,9,FALSE)</f>
        <v>#N/A</v>
      </c>
      <c r="E10" s="1" t="s">
        <v>40</v>
      </c>
      <c r="F10" s="1" t="s">
        <v>41</v>
      </c>
      <c r="G10" s="2" t="s">
        <v>29</v>
      </c>
      <c r="H10" s="4" t="str">
        <f>HYPERLINK("http://nimonikapp.com/legislations/90","http://nimonikapp.com/legislations/90")</f>
        <v>http://nimonikapp.com/legislations/90</v>
      </c>
      <c r="I10" s="1" t="s">
        <v>18</v>
      </c>
      <c r="J10" s="1" t="s">
        <v>30</v>
      </c>
      <c r="K10" s="1" t="s">
        <v>31</v>
      </c>
      <c r="L10" s="5">
        <v>44889.0</v>
      </c>
      <c r="M10" s="5">
        <v>44889.0</v>
      </c>
      <c r="N10" s="5">
        <v>44894.0</v>
      </c>
    </row>
    <row r="11">
      <c r="A11" s="1" t="s">
        <v>24</v>
      </c>
      <c r="B11" s="1" t="s">
        <v>25</v>
      </c>
      <c r="C11" s="1" t="s">
        <v>26</v>
      </c>
      <c r="D11" s="1" t="str">
        <f>Vlookup(F11,'Oil &amp; Gas Documents - Canada'!F:N,9,FALSE)</f>
        <v>#N/A</v>
      </c>
      <c r="E11" s="1" t="s">
        <v>42</v>
      </c>
      <c r="F11" s="1" t="s">
        <v>43</v>
      </c>
      <c r="G11" s="2" t="s">
        <v>29</v>
      </c>
      <c r="H11" s="4" t="str">
        <f>HYPERLINK("http://nimonikapp.com/legislations/10231","http://nimonikapp.com/legislations/10231")</f>
        <v>http://nimonikapp.com/legislations/10231</v>
      </c>
      <c r="I11" s="1" t="s">
        <v>18</v>
      </c>
      <c r="J11" s="1" t="s">
        <v>30</v>
      </c>
      <c r="K11" s="1" t="s">
        <v>31</v>
      </c>
      <c r="L11" s="5">
        <v>44889.0</v>
      </c>
      <c r="M11" s="5">
        <v>44889.0</v>
      </c>
      <c r="N11" s="5">
        <v>44894.0</v>
      </c>
    </row>
    <row r="12">
      <c r="A12" s="1" t="s">
        <v>24</v>
      </c>
      <c r="B12" s="1" t="s">
        <v>25</v>
      </c>
      <c r="C12" s="1" t="s">
        <v>26</v>
      </c>
      <c r="D12" s="1" t="str">
        <f>Vlookup(F12,'Oil &amp; Gas Documents - Canada'!F:N,9,FALSE)</f>
        <v>#N/A</v>
      </c>
      <c r="E12" s="1" t="s">
        <v>44</v>
      </c>
      <c r="F12" s="1" t="s">
        <v>45</v>
      </c>
      <c r="G12" s="2" t="s">
        <v>29</v>
      </c>
      <c r="H12" s="4" t="str">
        <f>HYPERLINK("http://nimonikapp.com/legislations/86","http://nimonikapp.com/legislations/86")</f>
        <v>http://nimonikapp.com/legislations/86</v>
      </c>
      <c r="I12" s="1" t="s">
        <v>18</v>
      </c>
      <c r="J12" s="1" t="s">
        <v>30</v>
      </c>
      <c r="K12" s="1" t="s">
        <v>31</v>
      </c>
      <c r="L12" s="5">
        <v>44889.0</v>
      </c>
      <c r="M12" s="5">
        <v>44889.0</v>
      </c>
      <c r="N12" s="5">
        <v>44894.0</v>
      </c>
    </row>
    <row r="13">
      <c r="A13" s="1" t="s">
        <v>24</v>
      </c>
      <c r="B13" s="1" t="s">
        <v>25</v>
      </c>
      <c r="C13" s="1" t="s">
        <v>26</v>
      </c>
      <c r="D13" s="1" t="str">
        <f>Vlookup(F13,'Oil &amp; Gas Documents - Canada'!F:N,9,FALSE)</f>
        <v>#N/A</v>
      </c>
      <c r="E13" s="1" t="s">
        <v>46</v>
      </c>
      <c r="F13" s="1" t="s">
        <v>47</v>
      </c>
      <c r="G13" s="2" t="s">
        <v>29</v>
      </c>
      <c r="H13" s="4" t="str">
        <f>HYPERLINK("http://nimonikapp.com/legislations/85","http://nimonikapp.com/legislations/85")</f>
        <v>http://nimonikapp.com/legislations/85</v>
      </c>
      <c r="I13" s="1" t="s">
        <v>18</v>
      </c>
      <c r="J13" s="1" t="s">
        <v>30</v>
      </c>
      <c r="K13" s="1" t="s">
        <v>31</v>
      </c>
      <c r="L13" s="5">
        <v>44889.0</v>
      </c>
      <c r="M13" s="5">
        <v>44889.0</v>
      </c>
      <c r="N13" s="5">
        <v>44894.0</v>
      </c>
    </row>
    <row r="14">
      <c r="A14" s="1" t="s">
        <v>24</v>
      </c>
      <c r="B14" s="1" t="s">
        <v>25</v>
      </c>
      <c r="C14" s="1" t="s">
        <v>26</v>
      </c>
      <c r="D14" s="1" t="str">
        <f>Vlookup(F14,'Oil &amp; Gas Documents - Canada'!F:N,9,FALSE)</f>
        <v>#N/A</v>
      </c>
      <c r="E14" s="1" t="s">
        <v>48</v>
      </c>
      <c r="F14" s="1" t="s">
        <v>49</v>
      </c>
      <c r="G14" s="2" t="s">
        <v>29</v>
      </c>
      <c r="H14" s="4" t="str">
        <f>HYPERLINK("http://nimonikapp.com/legislations/51","http://nimonikapp.com/legislations/51")</f>
        <v>http://nimonikapp.com/legislations/51</v>
      </c>
      <c r="I14" s="1" t="s">
        <v>18</v>
      </c>
      <c r="J14" s="1" t="s">
        <v>30</v>
      </c>
      <c r="K14" s="1" t="s">
        <v>31</v>
      </c>
      <c r="L14" s="5">
        <v>44889.0</v>
      </c>
      <c r="M14" s="5">
        <v>44889.0</v>
      </c>
      <c r="N14" s="5">
        <v>44894.0</v>
      </c>
    </row>
    <row r="15">
      <c r="A15" s="1" t="s">
        <v>24</v>
      </c>
      <c r="B15" s="1" t="s">
        <v>25</v>
      </c>
      <c r="C15" s="1" t="s">
        <v>26</v>
      </c>
      <c r="D15" s="1" t="str">
        <f>Vlookup(F15,'Oil &amp; Gas Documents - Canada'!F:N,9,FALSE)</f>
        <v>#N/A</v>
      </c>
      <c r="E15" s="1" t="s">
        <v>50</v>
      </c>
      <c r="F15" s="1" t="s">
        <v>51</v>
      </c>
      <c r="G15" s="2" t="s">
        <v>29</v>
      </c>
      <c r="H15" s="4" t="str">
        <f>HYPERLINK("http://nimonikapp.com/legislations/124721","http://nimonikapp.com/legislations/124721")</f>
        <v>http://nimonikapp.com/legislations/124721</v>
      </c>
      <c r="I15" s="1" t="s">
        <v>52</v>
      </c>
      <c r="J15" s="1" t="s">
        <v>30</v>
      </c>
      <c r="K15" s="1" t="s">
        <v>31</v>
      </c>
      <c r="L15" s="5">
        <v>44889.0</v>
      </c>
      <c r="M15" s="5">
        <v>44889.0</v>
      </c>
      <c r="N15" s="5">
        <v>44894.0</v>
      </c>
    </row>
    <row r="16">
      <c r="A16" s="1" t="s">
        <v>53</v>
      </c>
      <c r="B16" s="1" t="s">
        <v>25</v>
      </c>
      <c r="C16" s="1" t="s">
        <v>26</v>
      </c>
      <c r="D16" s="1" t="str">
        <f>Vlookup(F16,'Oil &amp; Gas Documents - Canada'!F:N,9,FALSE)</f>
        <v>#N/A</v>
      </c>
      <c r="E16" s="1" t="s">
        <v>54</v>
      </c>
      <c r="F16" s="1" t="s">
        <v>55</v>
      </c>
      <c r="G16" s="3"/>
      <c r="H16" s="4" t="str">
        <f>HYPERLINK("http://nimonikapp.com/legislations/364205","http://nimonikapp.com/legislations/364205")</f>
        <v>http://nimonikapp.com/legislations/364205</v>
      </c>
      <c r="I16" s="1" t="s">
        <v>18</v>
      </c>
      <c r="J16" s="1" t="s">
        <v>56</v>
      </c>
      <c r="K16" s="1" t="s">
        <v>57</v>
      </c>
      <c r="L16" s="5">
        <v>44757.0</v>
      </c>
      <c r="M16" s="5">
        <v>44748.0</v>
      </c>
      <c r="N16" s="5">
        <v>44894.0</v>
      </c>
    </row>
    <row r="17">
      <c r="A17" s="1" t="s">
        <v>53</v>
      </c>
      <c r="B17" s="1" t="s">
        <v>25</v>
      </c>
      <c r="C17" s="1" t="s">
        <v>26</v>
      </c>
      <c r="D17" s="1" t="str">
        <f>Vlookup(F17,'Oil &amp; Gas Documents - Canada'!F:N,9,FALSE)</f>
        <v>#N/A</v>
      </c>
      <c r="E17" s="1" t="s">
        <v>58</v>
      </c>
      <c r="F17" s="1" t="s">
        <v>59</v>
      </c>
      <c r="G17" s="3"/>
      <c r="H17" s="4" t="str">
        <f>HYPERLINK("http://nimonikapp.com/legislations/364211","http://nimonikapp.com/legislations/364211")</f>
        <v>http://nimonikapp.com/legislations/364211</v>
      </c>
      <c r="I17" s="1" t="s">
        <v>18</v>
      </c>
      <c r="J17" s="1" t="s">
        <v>60</v>
      </c>
      <c r="K17" s="1" t="s">
        <v>61</v>
      </c>
      <c r="L17" s="5">
        <v>44757.0</v>
      </c>
      <c r="M17" s="5">
        <v>44748.0</v>
      </c>
      <c r="N17" s="5">
        <v>44894.0</v>
      </c>
    </row>
    <row r="18">
      <c r="A18" s="1" t="s">
        <v>53</v>
      </c>
      <c r="B18" s="1" t="s">
        <v>25</v>
      </c>
      <c r="C18" s="1" t="s">
        <v>26</v>
      </c>
      <c r="D18" s="1" t="str">
        <f>Vlookup(F18,'Oil &amp; Gas Documents - Canada'!F:N,9,FALSE)</f>
        <v>#N/A</v>
      </c>
      <c r="E18" s="1" t="s">
        <v>62</v>
      </c>
      <c r="F18" s="1" t="s">
        <v>63</v>
      </c>
      <c r="G18" s="3"/>
      <c r="H18" s="4" t="str">
        <f>HYPERLINK("http://nimonikapp.com/legislations/364224","http://nimonikapp.com/legislations/364224")</f>
        <v>http://nimonikapp.com/legislations/364224</v>
      </c>
      <c r="I18" s="1" t="s">
        <v>18</v>
      </c>
      <c r="J18" s="1" t="s">
        <v>64</v>
      </c>
      <c r="K18" s="1" t="s">
        <v>65</v>
      </c>
      <c r="L18" s="5">
        <v>44757.0</v>
      </c>
      <c r="M18" s="5">
        <v>44748.0</v>
      </c>
      <c r="N18" s="5">
        <v>44894.0</v>
      </c>
    </row>
    <row r="19">
      <c r="A19" s="1" t="s">
        <v>66</v>
      </c>
      <c r="B19" s="1" t="s">
        <v>15</v>
      </c>
      <c r="C19" s="1" t="s">
        <v>26</v>
      </c>
      <c r="D19" s="1" t="str">
        <f>Vlookup(F19,'Oil &amp; Gas Documents - Canada'!F:N,9,FALSE)</f>
        <v>#N/A</v>
      </c>
      <c r="E19" s="1" t="s">
        <v>67</v>
      </c>
      <c r="F19" s="1" t="s">
        <v>68</v>
      </c>
      <c r="G19" s="3"/>
      <c r="H19" s="4" t="str">
        <f>HYPERLINK("http://nimonikapp.com/legislations/385628","http://nimonikapp.com/legislations/385628")</f>
        <v>http://nimonikapp.com/legislations/385628</v>
      </c>
      <c r="I19" s="1" t="s">
        <v>69</v>
      </c>
      <c r="L19" s="5">
        <v>44889.0</v>
      </c>
      <c r="N19" s="5">
        <v>44890.0</v>
      </c>
    </row>
    <row r="20">
      <c r="A20" s="1" t="s">
        <v>70</v>
      </c>
      <c r="B20" s="1" t="s">
        <v>15</v>
      </c>
      <c r="C20" s="1" t="str">
        <f>Vlookup(F20,'Oil &amp; Gas Documents - Canada'!F:M,2,FALSE)</f>
        <v>oil_and_gas, mining_and_minerals_industry</v>
      </c>
      <c r="D20" s="1" t="str">
        <f>Vlookup(F20,'Oil &amp; Gas Documents - Canada'!F:N,9,FALSE)</f>
        <v/>
      </c>
      <c r="E20" s="1" t="s">
        <v>71</v>
      </c>
      <c r="F20" s="1" t="s">
        <v>72</v>
      </c>
      <c r="G20" s="3"/>
      <c r="H20" s="4" t="str">
        <f>HYPERLINK("http://nimonikapp.com/legislations/385627","http://nimonikapp.com/legislations/385627")</f>
        <v>http://nimonikapp.com/legislations/385627</v>
      </c>
      <c r="I20" s="1" t="s">
        <v>69</v>
      </c>
      <c r="L20" s="5">
        <v>44888.0</v>
      </c>
      <c r="N20" s="5">
        <v>44890.0</v>
      </c>
    </row>
    <row r="21">
      <c r="A21" s="1" t="s">
        <v>73</v>
      </c>
      <c r="B21" s="1" t="s">
        <v>25</v>
      </c>
      <c r="C21" s="1" t="str">
        <f>Vlookup(F21,'Oil &amp; Gas Documents - Canada'!F:M,2,FALSE)</f>
        <v>oil_and_gas</v>
      </c>
      <c r="D21" s="1" t="str">
        <f>Vlookup(F21,'Oil &amp; Gas Documents - Canada'!F:N,9,FALSE)</f>
        <v/>
      </c>
      <c r="E21" s="1" t="s">
        <v>74</v>
      </c>
      <c r="F21" s="1" t="s">
        <v>75</v>
      </c>
      <c r="G21" s="2" t="s">
        <v>76</v>
      </c>
      <c r="H21" s="4" t="str">
        <f>HYPERLINK("http://nimonikapp.com/legislations/10243","http://nimonikapp.com/legislations/10243")</f>
        <v>http://nimonikapp.com/legislations/10243</v>
      </c>
      <c r="I21" s="1" t="s">
        <v>18</v>
      </c>
      <c r="J21" s="1" t="s">
        <v>77</v>
      </c>
      <c r="K21" s="1" t="s">
        <v>78</v>
      </c>
      <c r="L21" s="5">
        <v>44852.0</v>
      </c>
      <c r="M21" s="5">
        <v>44852.0</v>
      </c>
      <c r="N21" s="5">
        <v>44890.0</v>
      </c>
    </row>
    <row r="22">
      <c r="A22" s="1" t="s">
        <v>24</v>
      </c>
      <c r="B22" s="1" t="s">
        <v>15</v>
      </c>
      <c r="C22" s="1" t="str">
        <f>Vlookup(F22,'Oil &amp; Gas Documents - Canada'!F:M,2,FALSE)</f>
        <v>oil_and_gas, utilities_and_communications</v>
      </c>
      <c r="D22" s="1" t="str">
        <f>Vlookup(F22,'Oil &amp; Gas Documents - Canada'!F:N,9,FALSE)</f>
        <v/>
      </c>
      <c r="E22" s="1" t="s">
        <v>79</v>
      </c>
      <c r="F22" s="1" t="s">
        <v>80</v>
      </c>
      <c r="G22" s="3"/>
      <c r="H22" s="4" t="str">
        <f>HYPERLINK("http://nimonikapp.com/legislations/383981","http://nimonikapp.com/legislations/383981")</f>
        <v>http://nimonikapp.com/legislations/383981</v>
      </c>
      <c r="I22" s="1" t="s">
        <v>69</v>
      </c>
      <c r="L22" s="5">
        <v>44886.0</v>
      </c>
      <c r="N22" s="5">
        <v>44888.0</v>
      </c>
    </row>
    <row r="23">
      <c r="A23" s="1" t="s">
        <v>21</v>
      </c>
      <c r="B23" s="1" t="s">
        <v>25</v>
      </c>
      <c r="C23" s="1" t="str">
        <f>Vlookup(F23,'Oil &amp; Gas Documents - Canada'!F:M,2,FALSE)</f>
        <v>oil_and_gas, mining_and_minerals_industry</v>
      </c>
      <c r="D23" s="1" t="str">
        <f>Vlookup(F23,'Oil &amp; Gas Documents - Canada'!F:N,9,FALSE)</f>
        <v/>
      </c>
      <c r="E23" s="1" t="s">
        <v>81</v>
      </c>
      <c r="F23" s="1" t="s">
        <v>82</v>
      </c>
      <c r="G23" s="2" t="s">
        <v>83</v>
      </c>
      <c r="H23" s="4" t="str">
        <f>HYPERLINK("http://nimonikapp.com/legislations/116386","http://nimonikapp.com/legislations/116386")</f>
        <v>http://nimonikapp.com/legislations/116386</v>
      </c>
      <c r="I23" s="1" t="s">
        <v>18</v>
      </c>
      <c r="J23" s="1" t="s">
        <v>84</v>
      </c>
      <c r="K23" s="1" t="s">
        <v>85</v>
      </c>
      <c r="L23" s="5">
        <v>44883.0</v>
      </c>
      <c r="M23" s="5">
        <v>44883.0</v>
      </c>
      <c r="N23" s="5">
        <v>44888.0</v>
      </c>
    </row>
    <row r="24">
      <c r="A24" s="1" t="s">
        <v>53</v>
      </c>
      <c r="B24" s="1" t="s">
        <v>25</v>
      </c>
      <c r="C24" s="1" t="str">
        <f>Vlookup(F24,'Oil &amp; Gas Documents - Canada'!F:M,2,FALSE)</f>
        <v>oil_and_gas</v>
      </c>
      <c r="D24" s="1" t="str">
        <f>Vlookup(F24,'Oil &amp; Gas Documents - Canada'!F:N,9,FALSE)</f>
        <v/>
      </c>
      <c r="E24" s="1" t="s">
        <v>86</v>
      </c>
      <c r="F24" s="1" t="s">
        <v>87</v>
      </c>
      <c r="G24" s="2" t="s">
        <v>88</v>
      </c>
      <c r="H24" s="4" t="str">
        <f>HYPERLINK("http://nimonikapp.com/legislations/116982","http://nimonikapp.com/legislations/116982")</f>
        <v>http://nimonikapp.com/legislations/116982</v>
      </c>
      <c r="I24" s="1" t="s">
        <v>18</v>
      </c>
      <c r="J24" s="1" t="s">
        <v>89</v>
      </c>
      <c r="K24" s="1" t="s">
        <v>90</v>
      </c>
      <c r="L24" s="5">
        <v>44874.0</v>
      </c>
      <c r="M24" s="5">
        <v>44874.0</v>
      </c>
      <c r="N24" s="5">
        <v>44886.0</v>
      </c>
    </row>
    <row r="25">
      <c r="A25" s="1" t="s">
        <v>53</v>
      </c>
      <c r="B25" s="1" t="s">
        <v>25</v>
      </c>
      <c r="C25" s="1" t="s">
        <v>26</v>
      </c>
      <c r="D25" s="1" t="str">
        <f>Vlookup(F25,'Oil &amp; Gas Documents - Canada'!F:N,9,FALSE)</f>
        <v>#N/A</v>
      </c>
      <c r="E25" s="1" t="s">
        <v>91</v>
      </c>
      <c r="F25" s="1" t="s">
        <v>92</v>
      </c>
      <c r="G25" s="2" t="s">
        <v>93</v>
      </c>
      <c r="H25" s="4" t="str">
        <f>HYPERLINK("http://nimonikapp.com/legislations/61","http://nimonikapp.com/legislations/61")</f>
        <v>http://nimonikapp.com/legislations/61</v>
      </c>
      <c r="I25" s="1" t="s">
        <v>18</v>
      </c>
      <c r="J25" s="1" t="s">
        <v>94</v>
      </c>
      <c r="K25" s="1" t="s">
        <v>95</v>
      </c>
      <c r="L25" s="5">
        <v>44874.0</v>
      </c>
      <c r="M25" s="5">
        <v>44927.0</v>
      </c>
      <c r="N25" s="5">
        <v>44886.0</v>
      </c>
    </row>
    <row r="26">
      <c r="A26" s="1" t="s">
        <v>53</v>
      </c>
      <c r="B26" s="1" t="s">
        <v>25</v>
      </c>
      <c r="C26" s="1" t="s">
        <v>26</v>
      </c>
      <c r="D26" s="1" t="str">
        <f>Vlookup(F26,'Oil &amp; Gas Documents - Canada'!F:N,9,FALSE)</f>
        <v>#N/A</v>
      </c>
      <c r="E26" s="1" t="s">
        <v>96</v>
      </c>
      <c r="F26" s="1" t="s">
        <v>97</v>
      </c>
      <c r="G26" s="2" t="s">
        <v>98</v>
      </c>
      <c r="H26" s="4" t="str">
        <f>HYPERLINK("http://nimonikapp.com/legislations/366312","http://nimonikapp.com/legislations/366312")</f>
        <v>http://nimonikapp.com/legislations/366312</v>
      </c>
      <c r="I26" s="1" t="s">
        <v>18</v>
      </c>
      <c r="J26" s="1" t="s">
        <v>89</v>
      </c>
      <c r="K26" s="1" t="s">
        <v>90</v>
      </c>
      <c r="L26" s="5">
        <v>44874.0</v>
      </c>
      <c r="M26" s="5">
        <v>44874.0</v>
      </c>
      <c r="N26" s="5">
        <v>44886.0</v>
      </c>
    </row>
    <row r="27">
      <c r="A27" s="1" t="s">
        <v>99</v>
      </c>
      <c r="B27" s="1" t="s">
        <v>25</v>
      </c>
      <c r="C27" s="1" t="str">
        <f>Vlookup(F27,'Oil &amp; Gas Documents - Canada'!F:M,2,FALSE)</f>
        <v>oil_and_gas, utilities_and_communications</v>
      </c>
      <c r="D27" s="1" t="str">
        <f>Vlookup(F27,'Oil &amp; Gas Documents - Canada'!F:N,9,FALSE)</f>
        <v>2. In these regulations
(a) "Act" means the Petroleum Products Act ,
(a.01) "alternative benchmark" means, with respect to a type, grade or component of heating fuel or motor fuel, a reported product price assessment other than the reported product price assessments set out in the Schedule,
(a.1) "benchmark" means, with respect to a type, grade or component of heating fuel or motor fuel,
(i) the reported product price assessment by Platts and by Bloombergs or OPIS in the case of propane, and as set out in the Schedule, and
(ii) notwithstanding subparagraph (i), with respect to mid-grade and premium unleaded gasoline, the product price assessment for Unl 87,
(b) "Bloombergs" means Bloombergs Oil Buyers Guide,
(c) "maximum retail price" means the petroleum product base price for a type of heating fuel or motor fuel, which constitutes the maximum price chargeable by a retailer to a consumer for that type of heating fuel or motor fuel,
(d) "maximum wholesale price" means the petroleum product base price for a type of heating fuel or motor fuel, which constitutes the maximum price chargeable by a wholesaler to a retailer for that type of heating fuel or motor fuel,
(d.1) "OPIS" means Oil Price Information Service price report,
(e) "Platts" means Platts Oilgram Price Report, and
(f) "point of sale" means
(i) with respect to the sale of heating fuel or motor fuel by a wholesaler to a retailer, the location of the outlet from which the retailer intends to sell the heating fuel or motor fuel to consumers, or
(ii) with respect to the sale of heating fuel or motor fuel by a retailer to a consumer, the location at which the heating fuel or motor fuel is delivered to the consumer.
3. (1) Within 30 days after these regulations come into force, every wholesaler and retailer shall provide the board, in writing, with
(a) the name of an individual and the individual’s position title, designated by the wholesaler or retailer, to receive all notices, decisions, requests, correspondence and other communications from the board on behalf of that wholesaler or retailer, and
(b) contact information for the wholesaler or retailer, including where possible
(i) a mailing address,
(ii) a telephone number,
(iii) a facsimile number, and
(iv) an electronic mail address.
(2) A person who becomes a wholesaler or retailer after these regulations come into force shall provide the board with the information set out in subsection (1) within 30 days of becoming a wholesaler or retailer.
6. (1) A wholesaler shall not charge a price to a retailer for heating fuel or motor fuel greater than the maximum wholesale price for the zone within which the point of sale is located.
(2) A retailer shall not charge a price to a consumer for heating fuel or motor fuel greater than the maximum retail price for the zone within which the point of sale is located.
(3) Notwithstanding subsections (1) and (2), the board may, in accordance with the Act and these regulations, set a different maximum wholesale price or retail price that a wholesaler or retailer may charge for heating fuel or motor fuel within a zone.
8. Unless authorized by the board, a wholesaler or retailer shall not disclose to any other person a price established by the board before the date on which the price comes into force.</v>
      </c>
      <c r="E27" s="1" t="s">
        <v>100</v>
      </c>
      <c r="F27" s="1" t="s">
        <v>101</v>
      </c>
      <c r="G27" s="3"/>
      <c r="H27" s="4" t="str">
        <f>HYPERLINK("http://nimonikapp.com/legislations/367523","http://nimonikapp.com/legislations/367523")</f>
        <v>http://nimonikapp.com/legislations/367523</v>
      </c>
      <c r="I27" s="1" t="s">
        <v>18</v>
      </c>
      <c r="J27" s="1" t="s">
        <v>102</v>
      </c>
      <c r="K27" s="1" t="s">
        <v>103</v>
      </c>
      <c r="L27" s="5">
        <v>44715.0</v>
      </c>
      <c r="M27" s="5">
        <v>44715.0</v>
      </c>
      <c r="N27" s="5">
        <v>44883.0</v>
      </c>
    </row>
    <row r="28">
      <c r="A28" s="1" t="s">
        <v>21</v>
      </c>
      <c r="B28" s="1" t="s">
        <v>25</v>
      </c>
      <c r="C28" s="1" t="str">
        <f>Vlookup(F28,'Oil &amp; Gas Documents - Canada'!F:M,2,FALSE)</f>
        <v>general, oil_and_gas</v>
      </c>
      <c r="D28" s="1" t="str">
        <f>Vlookup(F28,'Oil &amp; Gas Documents - Canada'!F:N,9,FALSE)</f>
        <v/>
      </c>
      <c r="E28" s="1" t="s">
        <v>104</v>
      </c>
      <c r="F28" s="1" t="s">
        <v>105</v>
      </c>
      <c r="G28" s="2" t="s">
        <v>106</v>
      </c>
      <c r="H28" s="4" t="str">
        <f>HYPERLINK("http://nimonikapp.com/legislations/4208","http://nimonikapp.com/legislations/4208")</f>
        <v>http://nimonikapp.com/legislations/4208</v>
      </c>
      <c r="I28" s="1" t="s">
        <v>18</v>
      </c>
      <c r="J28" s="1" t="s">
        <v>107</v>
      </c>
      <c r="K28" s="1" t="s">
        <v>108</v>
      </c>
      <c r="L28" s="5">
        <v>44880.0</v>
      </c>
      <c r="M28" s="5">
        <v>44858.0</v>
      </c>
      <c r="N28" s="5">
        <v>44882.0</v>
      </c>
    </row>
    <row r="29">
      <c r="A29" s="1" t="s">
        <v>21</v>
      </c>
      <c r="B29" s="1" t="s">
        <v>25</v>
      </c>
      <c r="C29" s="1" t="str">
        <f>Vlookup(F29,'Oil &amp; Gas Documents - Canada'!F:M,2,FALSE)</f>
        <v>oil_and_gas</v>
      </c>
      <c r="D29" s="1" t="str">
        <f>Vlookup(F29,'Oil &amp; Gas Documents - Canada'!F:N,9,FALSE)</f>
        <v/>
      </c>
      <c r="E29" s="1" t="s">
        <v>109</v>
      </c>
      <c r="F29" s="1" t="s">
        <v>110</v>
      </c>
      <c r="G29" s="3"/>
      <c r="H29" s="4" t="str">
        <f>HYPERLINK("http://nimonikapp.com/legislations/4038","http://nimonikapp.com/legislations/4038")</f>
        <v>http://nimonikapp.com/legislations/4038</v>
      </c>
      <c r="I29" s="1" t="s">
        <v>18</v>
      </c>
      <c r="J29" s="1" t="s">
        <v>107</v>
      </c>
      <c r="K29" s="1" t="s">
        <v>108</v>
      </c>
      <c r="L29" s="5">
        <v>44880.0</v>
      </c>
      <c r="M29" s="5">
        <v>44858.0</v>
      </c>
      <c r="N29" s="5">
        <v>44882.0</v>
      </c>
    </row>
    <row r="30">
      <c r="A30" s="1" t="s">
        <v>21</v>
      </c>
      <c r="B30" s="1" t="s">
        <v>25</v>
      </c>
      <c r="C30" s="1" t="str">
        <f>Vlookup(F30,'Oil &amp; Gas Documents - Canada'!F:M,2,FALSE)</f>
        <v>general, oil_and_gas, mining_and_minerals_industry</v>
      </c>
      <c r="D30" s="1" t="str">
        <f>Vlookup(F30,'Oil &amp; Gas Documents - Canada'!F:N,9,FALSE)</f>
        <v/>
      </c>
      <c r="E30" s="1" t="s">
        <v>111</v>
      </c>
      <c r="F30" s="1" t="s">
        <v>112</v>
      </c>
      <c r="G30" s="3"/>
      <c r="H30" s="4" t="str">
        <f>HYPERLINK("http://nimonikapp.com/legislations/3994","http://nimonikapp.com/legislations/3994")</f>
        <v>http://nimonikapp.com/legislations/3994</v>
      </c>
      <c r="I30" s="1" t="s">
        <v>18</v>
      </c>
      <c r="J30" s="1" t="s">
        <v>107</v>
      </c>
      <c r="K30" s="1" t="s">
        <v>108</v>
      </c>
      <c r="L30" s="5">
        <v>44880.0</v>
      </c>
      <c r="M30" s="5">
        <v>44858.0</v>
      </c>
      <c r="N30" s="5">
        <v>44882.0</v>
      </c>
    </row>
    <row r="31">
      <c r="A31" s="1" t="s">
        <v>21</v>
      </c>
      <c r="B31" s="1" t="s">
        <v>25</v>
      </c>
      <c r="C31" s="1" t="str">
        <f>Vlookup(F31,'Oil &amp; Gas Documents - Canada'!F:M,2,FALSE)</f>
        <v>oil_and_gas</v>
      </c>
      <c r="D31" s="1" t="str">
        <f>Vlookup(F31,'Oil &amp; Gas Documents - Canada'!F:N,9,FALSE)</f>
        <v/>
      </c>
      <c r="E31" s="1" t="s">
        <v>113</v>
      </c>
      <c r="F31" s="1" t="s">
        <v>114</v>
      </c>
      <c r="G31" s="2" t="s">
        <v>115</v>
      </c>
      <c r="H31" s="4" t="str">
        <f>HYPERLINK("http://nimonikapp.com/legislations/3846","http://nimonikapp.com/legislations/3846")</f>
        <v>http://nimonikapp.com/legislations/3846</v>
      </c>
      <c r="I31" s="1" t="s">
        <v>18</v>
      </c>
      <c r="J31" s="1" t="s">
        <v>107</v>
      </c>
      <c r="K31" s="1" t="s">
        <v>108</v>
      </c>
      <c r="L31" s="5">
        <v>44880.0</v>
      </c>
      <c r="M31" s="5">
        <v>44858.0</v>
      </c>
      <c r="N31" s="5">
        <v>44882.0</v>
      </c>
    </row>
    <row r="32">
      <c r="A32" s="1" t="s">
        <v>21</v>
      </c>
      <c r="B32" s="1" t="s">
        <v>25</v>
      </c>
      <c r="C32" s="1" t="str">
        <f>Vlookup(F32,'Oil &amp; Gas Documents - Canada'!F:M,2,FALSE)</f>
        <v>oil_and_gas</v>
      </c>
      <c r="D32" s="1" t="str">
        <f>Vlookup(F32,'Oil &amp; Gas Documents - Canada'!F:N,9,FALSE)</f>
        <v/>
      </c>
      <c r="E32" s="1" t="s">
        <v>116</v>
      </c>
      <c r="F32" s="1" t="s">
        <v>117</v>
      </c>
      <c r="G32" s="2" t="s">
        <v>118</v>
      </c>
      <c r="H32" s="4" t="str">
        <f>HYPERLINK("http://nimonikapp.com/legislations/3688","http://nimonikapp.com/legislations/3688")</f>
        <v>http://nimonikapp.com/legislations/3688</v>
      </c>
      <c r="I32" s="1" t="s">
        <v>18</v>
      </c>
      <c r="J32" s="1" t="s">
        <v>107</v>
      </c>
      <c r="K32" s="1" t="s">
        <v>108</v>
      </c>
      <c r="L32" s="5">
        <v>44880.0</v>
      </c>
      <c r="M32" s="5">
        <v>44858.0</v>
      </c>
      <c r="N32" s="5">
        <v>44882.0</v>
      </c>
    </row>
    <row r="33">
      <c r="A33" s="1" t="s">
        <v>21</v>
      </c>
      <c r="B33" s="1" t="s">
        <v>25</v>
      </c>
      <c r="C33" s="1" t="str">
        <f>Vlookup(F33,'Oil &amp; Gas Documents - Canada'!F:M,2,FALSE)</f>
        <v>general, oil_and_gas, mining_and_minerals_industry</v>
      </c>
      <c r="D33" s="1" t="str">
        <f>Vlookup(F33,'Oil &amp; Gas Documents - Canada'!F:N,9,FALSE)</f>
        <v/>
      </c>
      <c r="E33" s="1" t="s">
        <v>119</v>
      </c>
      <c r="F33" s="1" t="s">
        <v>120</v>
      </c>
      <c r="G33" s="3"/>
      <c r="H33" s="4" t="str">
        <f>HYPERLINK("http://nimonikapp.com/legislations/4060","http://nimonikapp.com/legislations/4060")</f>
        <v>http://nimonikapp.com/legislations/4060</v>
      </c>
      <c r="I33" s="1" t="s">
        <v>18</v>
      </c>
      <c r="J33" s="1" t="s">
        <v>107</v>
      </c>
      <c r="K33" s="1" t="s">
        <v>108</v>
      </c>
      <c r="L33" s="5">
        <v>44880.0</v>
      </c>
      <c r="M33" s="5">
        <v>44858.0</v>
      </c>
      <c r="N33" s="5">
        <v>44882.0</v>
      </c>
    </row>
    <row r="34">
      <c r="A34" s="1" t="s">
        <v>99</v>
      </c>
      <c r="B34" s="1" t="s">
        <v>25</v>
      </c>
      <c r="C34" s="1" t="s">
        <v>26</v>
      </c>
      <c r="D34" s="1" t="str">
        <f>Vlookup(F34,'Oil &amp; Gas Documents - Canada'!F:N,9,FALSE)</f>
        <v>#N/A</v>
      </c>
      <c r="E34" s="1" t="s">
        <v>121</v>
      </c>
      <c r="F34" s="1" t="s">
        <v>122</v>
      </c>
      <c r="G34" s="2" t="s">
        <v>123</v>
      </c>
      <c r="H34" s="4" t="str">
        <f>HYPERLINK("http://nimonikapp.com/legislations/378062","http://nimonikapp.com/legislations/378062")</f>
        <v>http://nimonikapp.com/legislations/378062</v>
      </c>
      <c r="I34" s="1" t="s">
        <v>18</v>
      </c>
      <c r="J34" s="1" t="s">
        <v>124</v>
      </c>
      <c r="K34" s="1" t="s">
        <v>125</v>
      </c>
      <c r="L34" s="5">
        <v>44874.0</v>
      </c>
      <c r="M34" s="5">
        <v>45170.0</v>
      </c>
      <c r="N34" s="5">
        <v>44882.0</v>
      </c>
    </row>
    <row r="35">
      <c r="A35" s="1" t="s">
        <v>21</v>
      </c>
      <c r="B35" s="1" t="s">
        <v>25</v>
      </c>
      <c r="C35" s="1" t="s">
        <v>26</v>
      </c>
      <c r="D35" s="1" t="str">
        <f>Vlookup(F35,'Oil &amp; Gas Documents - Canada'!F:N,9,FALSE)</f>
        <v>#N/A</v>
      </c>
      <c r="E35" s="1" t="s">
        <v>126</v>
      </c>
      <c r="F35" s="1" t="s">
        <v>127</v>
      </c>
      <c r="G35" s="2" t="s">
        <v>128</v>
      </c>
      <c r="H35" s="4" t="str">
        <f>HYPERLINK("http://nimonikapp.com/legislations/118631","http://nimonikapp.com/legislations/118631")</f>
        <v>http://nimonikapp.com/legislations/118631</v>
      </c>
      <c r="I35" s="1" t="s">
        <v>18</v>
      </c>
      <c r="J35" s="1" t="s">
        <v>129</v>
      </c>
      <c r="K35" s="1" t="s">
        <v>130</v>
      </c>
      <c r="L35" s="5">
        <v>44802.0</v>
      </c>
      <c r="M35" s="5">
        <v>44927.0</v>
      </c>
      <c r="N35" s="5">
        <v>44880.0</v>
      </c>
    </row>
    <row r="36">
      <c r="A36" s="1" t="s">
        <v>21</v>
      </c>
      <c r="B36" s="1" t="s">
        <v>25</v>
      </c>
      <c r="C36" s="1" t="s">
        <v>26</v>
      </c>
      <c r="D36" s="1" t="str">
        <f>Vlookup(F36,'Oil &amp; Gas Documents - Canada'!F:N,9,FALSE)</f>
        <v>#N/A</v>
      </c>
      <c r="E36" s="1" t="s">
        <v>131</v>
      </c>
      <c r="F36" s="1" t="s">
        <v>132</v>
      </c>
      <c r="G36" s="2" t="s">
        <v>133</v>
      </c>
      <c r="H36" s="4" t="str">
        <f>HYPERLINK("http://nimonikapp.com/legislations/118630","http://nimonikapp.com/legislations/118630")</f>
        <v>http://nimonikapp.com/legislations/118630</v>
      </c>
      <c r="I36" s="1" t="s">
        <v>18</v>
      </c>
      <c r="J36" s="1" t="s">
        <v>134</v>
      </c>
      <c r="K36" s="1" t="s">
        <v>135</v>
      </c>
      <c r="L36" s="5">
        <v>44802.0</v>
      </c>
      <c r="M36" s="5">
        <v>44927.0</v>
      </c>
      <c r="N36" s="5">
        <v>44880.0</v>
      </c>
    </row>
    <row r="37">
      <c r="A37" s="1" t="s">
        <v>21</v>
      </c>
      <c r="B37" s="1" t="s">
        <v>25</v>
      </c>
      <c r="C37" s="1" t="str">
        <f>Vlookup(F37,'Oil &amp; Gas Documents - Canada'!F:M,2,FALSE)</f>
        <v>oil_and_gas</v>
      </c>
      <c r="D37" s="1" t="str">
        <f>Vlookup(F37,'Oil &amp; Gas Documents - Canada'!F:N,9,FALSE)</f>
        <v/>
      </c>
      <c r="E37" s="1" t="s">
        <v>136</v>
      </c>
      <c r="F37" s="1" t="s">
        <v>137</v>
      </c>
      <c r="G37" s="2" t="s">
        <v>138</v>
      </c>
      <c r="H37" s="4" t="str">
        <f>HYPERLINK("http://nimonikapp.com/legislations/284609","http://nimonikapp.com/legislations/284609")</f>
        <v>http://nimonikapp.com/legislations/284609</v>
      </c>
      <c r="I37" s="1" t="s">
        <v>18</v>
      </c>
      <c r="J37" s="1" t="s">
        <v>139</v>
      </c>
      <c r="K37" s="1" t="s">
        <v>140</v>
      </c>
      <c r="L37" s="5">
        <v>44692.0</v>
      </c>
      <c r="M37" s="5">
        <v>44692.0</v>
      </c>
      <c r="N37" s="5">
        <v>44875.0</v>
      </c>
    </row>
    <row r="38">
      <c r="A38" s="1" t="s">
        <v>70</v>
      </c>
      <c r="B38" s="1" t="s">
        <v>15</v>
      </c>
      <c r="C38" s="1" t="s">
        <v>26</v>
      </c>
      <c r="D38" s="1" t="str">
        <f>Vlookup(F38,'Oil &amp; Gas Documents - Canada'!F:N,9,FALSE)</f>
        <v>#N/A</v>
      </c>
      <c r="E38" s="1" t="s">
        <v>141</v>
      </c>
      <c r="F38" s="1" t="s">
        <v>142</v>
      </c>
      <c r="G38" s="3"/>
      <c r="H38" s="4" t="str">
        <f>HYPERLINK("http://nimonikapp.com/legislations/380350","http://nimonikapp.com/legislations/380350")</f>
        <v>http://nimonikapp.com/legislations/380350</v>
      </c>
      <c r="I38" s="1" t="s">
        <v>69</v>
      </c>
      <c r="L38" s="5">
        <v>44868.0</v>
      </c>
      <c r="N38" s="5">
        <v>44874.0</v>
      </c>
    </row>
    <row r="39">
      <c r="A39" s="1" t="s">
        <v>24</v>
      </c>
      <c r="B39" s="1" t="s">
        <v>25</v>
      </c>
      <c r="C39" s="1" t="str">
        <f>Vlookup(F39,'Oil &amp; Gas Documents - Canada'!F:M,2,FALSE)</f>
        <v>oil_and_gas</v>
      </c>
      <c r="D39" s="1" t="str">
        <f>Vlookup(F39,'Oil &amp; Gas Documents - Canada'!F:N,9,FALSE)</f>
        <v/>
      </c>
      <c r="E39" s="1" t="s">
        <v>143</v>
      </c>
      <c r="F39" s="1" t="s">
        <v>144</v>
      </c>
      <c r="G39" s="2" t="s">
        <v>145</v>
      </c>
      <c r="H39" s="4" t="str">
        <f>HYPERLINK("http://nimonikapp.com/legislations/129722","http://nimonikapp.com/legislations/129722")</f>
        <v>http://nimonikapp.com/legislations/129722</v>
      </c>
      <c r="I39" s="1" t="s">
        <v>18</v>
      </c>
      <c r="J39" s="1" t="s">
        <v>146</v>
      </c>
      <c r="K39" s="1" t="s">
        <v>147</v>
      </c>
      <c r="L39" s="5">
        <v>44806.0</v>
      </c>
      <c r="M39" s="5">
        <v>44806.0</v>
      </c>
      <c r="N39" s="5">
        <v>44873.0</v>
      </c>
    </row>
    <row r="40">
      <c r="A40" s="1" t="s">
        <v>24</v>
      </c>
      <c r="B40" s="1" t="s">
        <v>25</v>
      </c>
      <c r="C40" s="1" t="str">
        <f>Vlookup(F40,'Oil &amp; Gas Documents - Canada'!F:M,2,FALSE)</f>
        <v>oil_and_gas</v>
      </c>
      <c r="D40" s="1" t="str">
        <f>Vlookup(F40,'Oil &amp; Gas Documents - Canada'!F:N,9,FALSE)</f>
        <v/>
      </c>
      <c r="E40" s="1" t="s">
        <v>148</v>
      </c>
      <c r="F40" s="1" t="s">
        <v>149</v>
      </c>
      <c r="G40" s="2" t="s">
        <v>150</v>
      </c>
      <c r="H40" s="4" t="str">
        <f>HYPERLINK("http://nimonikapp.com/legislations/10262","http://nimonikapp.com/legislations/10262")</f>
        <v>http://nimonikapp.com/legislations/10262</v>
      </c>
      <c r="I40" s="1" t="s">
        <v>18</v>
      </c>
      <c r="J40" s="1" t="s">
        <v>151</v>
      </c>
      <c r="K40" s="1" t="s">
        <v>152</v>
      </c>
      <c r="L40" s="5">
        <v>44832.0</v>
      </c>
      <c r="M40" s="5">
        <v>44440.0</v>
      </c>
      <c r="N40" s="5">
        <v>44873.0</v>
      </c>
    </row>
    <row r="41">
      <c r="A41" s="1" t="s">
        <v>24</v>
      </c>
      <c r="B41" s="1" t="s">
        <v>25</v>
      </c>
      <c r="C41" s="1" t="str">
        <f>Vlookup(F41,'Oil &amp; Gas Documents - Canada'!F:M,2,FALSE)</f>
        <v>oil_and_gas</v>
      </c>
      <c r="D41" s="1" t="str">
        <f>Vlookup(F41,'Oil &amp; Gas Documents - Canada'!F:N,9,FALSE)</f>
        <v/>
      </c>
      <c r="E41" s="1" t="s">
        <v>153</v>
      </c>
      <c r="F41" s="1" t="s">
        <v>154</v>
      </c>
      <c r="G41" s="2" t="s">
        <v>155</v>
      </c>
      <c r="H41" s="4" t="str">
        <f>HYPERLINK("http://nimonikapp.com/legislations/267174","http://nimonikapp.com/legislations/267174")</f>
        <v>http://nimonikapp.com/legislations/267174</v>
      </c>
      <c r="I41" s="1" t="s">
        <v>18</v>
      </c>
      <c r="J41" s="1" t="s">
        <v>156</v>
      </c>
      <c r="K41" s="1" t="s">
        <v>157</v>
      </c>
      <c r="L41" s="5">
        <v>44805.0</v>
      </c>
      <c r="M41" s="5">
        <v>44835.0</v>
      </c>
      <c r="N41" s="5">
        <v>44873.0</v>
      </c>
    </row>
    <row r="42">
      <c r="A42" s="1" t="s">
        <v>24</v>
      </c>
      <c r="B42" s="1" t="s">
        <v>25</v>
      </c>
      <c r="C42" s="1" t="s">
        <v>26</v>
      </c>
      <c r="D42" s="1" t="str">
        <f>Vlookup(F42,'Oil &amp; Gas Documents - Canada'!F:N,9,FALSE)</f>
        <v>#N/A</v>
      </c>
      <c r="E42" s="1" t="s">
        <v>48</v>
      </c>
      <c r="F42" s="1" t="s">
        <v>49</v>
      </c>
      <c r="G42" s="2" t="s">
        <v>29</v>
      </c>
      <c r="H42" s="4" t="str">
        <f>HYPERLINK("http://nimonikapp.com/legislations/51","http://nimonikapp.com/legislations/51")</f>
        <v>http://nimonikapp.com/legislations/51</v>
      </c>
      <c r="I42" s="1" t="s">
        <v>18</v>
      </c>
      <c r="J42" s="1" t="s">
        <v>158</v>
      </c>
      <c r="K42" s="1" t="s">
        <v>159</v>
      </c>
      <c r="L42" s="5">
        <v>44868.0</v>
      </c>
      <c r="M42" s="5">
        <v>44868.0</v>
      </c>
      <c r="N42" s="5">
        <v>44869.0</v>
      </c>
    </row>
    <row r="43">
      <c r="A43" s="1" t="s">
        <v>21</v>
      </c>
      <c r="B43" s="1" t="s">
        <v>25</v>
      </c>
      <c r="C43" s="1" t="str">
        <f>Vlookup(F43,'Oil &amp; Gas Documents - Canada'!F:M,2,FALSE)</f>
        <v>general, oil_and_gas</v>
      </c>
      <c r="D43" s="1" t="str">
        <f>Vlookup(F43,'Oil &amp; Gas Documents - Canada'!F:N,9,FALSE)</f>
        <v/>
      </c>
      <c r="E43" s="1" t="s">
        <v>104</v>
      </c>
      <c r="F43" s="1" t="s">
        <v>105</v>
      </c>
      <c r="G43" s="2" t="s">
        <v>106</v>
      </c>
      <c r="H43" s="4" t="str">
        <f t="shared" ref="H43:H44" si="1">HYPERLINK("http://nimonikapp.com/legislations/4208","http://nimonikapp.com/legislations/4208")</f>
        <v>http://nimonikapp.com/legislations/4208</v>
      </c>
      <c r="I43" s="1" t="s">
        <v>18</v>
      </c>
      <c r="J43" s="1" t="s">
        <v>160</v>
      </c>
      <c r="K43" s="1" t="s">
        <v>161</v>
      </c>
      <c r="L43" s="5">
        <v>44865.0</v>
      </c>
      <c r="M43" s="5">
        <v>44851.0</v>
      </c>
      <c r="N43" s="5">
        <v>44867.0</v>
      </c>
    </row>
    <row r="44">
      <c r="A44" s="1" t="s">
        <v>21</v>
      </c>
      <c r="B44" s="1" t="s">
        <v>25</v>
      </c>
      <c r="C44" s="1" t="str">
        <f>Vlookup(F44,'Oil &amp; Gas Documents - Canada'!F:M,2,FALSE)</f>
        <v>general, oil_and_gas</v>
      </c>
      <c r="D44" s="1" t="str">
        <f>Vlookup(F44,'Oil &amp; Gas Documents - Canada'!F:N,9,FALSE)</f>
        <v/>
      </c>
      <c r="E44" s="1" t="s">
        <v>104</v>
      </c>
      <c r="F44" s="1" t="s">
        <v>105</v>
      </c>
      <c r="G44" s="2" t="s">
        <v>106</v>
      </c>
      <c r="H44" s="4" t="str">
        <f t="shared" si="1"/>
        <v>http://nimonikapp.com/legislations/4208</v>
      </c>
      <c r="I44" s="1" t="s">
        <v>18</v>
      </c>
      <c r="J44" s="1" t="s">
        <v>162</v>
      </c>
      <c r="K44" s="1" t="s">
        <v>163</v>
      </c>
      <c r="L44" s="5">
        <v>44865.0</v>
      </c>
      <c r="M44" s="5">
        <v>44848.0</v>
      </c>
      <c r="N44" s="5">
        <v>44867.0</v>
      </c>
    </row>
    <row r="45">
      <c r="A45" s="1" t="s">
        <v>21</v>
      </c>
      <c r="B45" s="1" t="s">
        <v>25</v>
      </c>
      <c r="C45" s="1" t="str">
        <f>Vlookup(F45,'Oil &amp; Gas Documents - Canada'!F:M,2,FALSE)</f>
        <v>oil_and_gas</v>
      </c>
      <c r="D45" s="1" t="str">
        <f>Vlookup(F45,'Oil &amp; Gas Documents - Canada'!F:N,9,FALSE)</f>
        <v/>
      </c>
      <c r="E45" s="1" t="s">
        <v>164</v>
      </c>
      <c r="F45" s="1" t="s">
        <v>165</v>
      </c>
      <c r="G45" s="2" t="s">
        <v>166</v>
      </c>
      <c r="H45" s="4" t="str">
        <f>HYPERLINK("http://nimonikapp.com/legislations/4050","http://nimonikapp.com/legislations/4050")</f>
        <v>http://nimonikapp.com/legislations/4050</v>
      </c>
      <c r="I45" s="1" t="s">
        <v>18</v>
      </c>
      <c r="J45" s="1" t="s">
        <v>167</v>
      </c>
      <c r="K45" s="1" t="s">
        <v>168</v>
      </c>
      <c r="L45" s="5">
        <v>44841.0</v>
      </c>
      <c r="M45" s="5">
        <v>44841.0</v>
      </c>
      <c r="N45" s="5">
        <v>44867.0</v>
      </c>
    </row>
    <row r="46">
      <c r="A46" s="1" t="s">
        <v>73</v>
      </c>
      <c r="B46" s="1" t="s">
        <v>25</v>
      </c>
      <c r="C46" s="1" t="s">
        <v>26</v>
      </c>
      <c r="D46" s="1" t="str">
        <f>Vlookup(F46,'Oil &amp; Gas Documents - Canada'!F:N,9,FALSE)</f>
        <v>#N/A</v>
      </c>
      <c r="E46" s="1" t="s">
        <v>169</v>
      </c>
      <c r="F46" s="1" t="s">
        <v>170</v>
      </c>
      <c r="G46" s="2" t="s">
        <v>171</v>
      </c>
      <c r="H46" s="4" t="str">
        <f t="shared" ref="H46:H47" si="2">HYPERLINK("http://nimonikapp.com/legislations/100784","http://nimonikapp.com/legislations/100784")</f>
        <v>http://nimonikapp.com/legislations/100784</v>
      </c>
      <c r="I46" s="1" t="s">
        <v>18</v>
      </c>
      <c r="J46" s="1" t="s">
        <v>172</v>
      </c>
      <c r="K46" s="1" t="s">
        <v>173</v>
      </c>
      <c r="L46" s="5">
        <v>44860.0</v>
      </c>
      <c r="M46" s="5">
        <v>44927.0</v>
      </c>
      <c r="N46" s="5">
        <v>44861.0</v>
      </c>
    </row>
    <row r="47">
      <c r="A47" s="1" t="s">
        <v>73</v>
      </c>
      <c r="B47" s="1" t="s">
        <v>25</v>
      </c>
      <c r="C47" s="1" t="s">
        <v>26</v>
      </c>
      <c r="D47" s="1" t="str">
        <f>Vlookup(F47,'Oil &amp; Gas Documents - Canada'!F:N,9,FALSE)</f>
        <v>#N/A</v>
      </c>
      <c r="E47" s="1" t="s">
        <v>169</v>
      </c>
      <c r="F47" s="1" t="s">
        <v>170</v>
      </c>
      <c r="G47" s="2" t="s">
        <v>171</v>
      </c>
      <c r="H47" s="4" t="str">
        <f t="shared" si="2"/>
        <v>http://nimonikapp.com/legislations/100784</v>
      </c>
      <c r="I47" s="1" t="s">
        <v>18</v>
      </c>
      <c r="J47" s="1" t="s">
        <v>174</v>
      </c>
      <c r="K47" s="1" t="s">
        <v>175</v>
      </c>
      <c r="L47" s="5">
        <v>44860.0</v>
      </c>
      <c r="M47" s="5">
        <v>44845.0</v>
      </c>
      <c r="N47" s="5">
        <v>44861.0</v>
      </c>
    </row>
    <row r="48">
      <c r="A48" s="1" t="s">
        <v>14</v>
      </c>
      <c r="B48" s="1" t="s">
        <v>25</v>
      </c>
      <c r="C48" s="1" t="str">
        <f>Vlookup(F48,'Oil &amp; Gas Documents - Canada'!F:M,2,FALSE)</f>
        <v>oil_and_gas</v>
      </c>
      <c r="D48" s="1" t="str">
        <f>Vlookup(F48,'Oil &amp; Gas Documents - Canada'!F:N,9,FALSE)</f>
        <v/>
      </c>
      <c r="E48" s="1" t="s">
        <v>176</v>
      </c>
      <c r="F48" s="1" t="s">
        <v>177</v>
      </c>
      <c r="G48" s="2" t="s">
        <v>178</v>
      </c>
      <c r="H48" s="4" t="str">
        <f>HYPERLINK("http://nimonikapp.com/legislations/115693","http://nimonikapp.com/legislations/115693")</f>
        <v>http://nimonikapp.com/legislations/115693</v>
      </c>
      <c r="I48" s="1" t="s">
        <v>18</v>
      </c>
      <c r="J48" s="1" t="s">
        <v>179</v>
      </c>
      <c r="K48" s="1" t="s">
        <v>180</v>
      </c>
      <c r="L48" s="5">
        <v>44713.0</v>
      </c>
      <c r="N48" s="5">
        <v>44859.0</v>
      </c>
    </row>
    <row r="49">
      <c r="A49" s="1" t="s">
        <v>14</v>
      </c>
      <c r="B49" s="1" t="s">
        <v>25</v>
      </c>
      <c r="C49" s="1" t="str">
        <f>Vlookup(F49,'Oil &amp; Gas Documents - Canada'!F:M,2,FALSE)</f>
        <v>oil_and_gas</v>
      </c>
      <c r="D49" s="1" t="str">
        <f>Vlookup(F49,'Oil &amp; Gas Documents - Canada'!F:N,9,FALSE)</f>
        <v/>
      </c>
      <c r="E49" s="1" t="s">
        <v>181</v>
      </c>
      <c r="F49" s="1" t="s">
        <v>182</v>
      </c>
      <c r="G49" s="2" t="s">
        <v>183</v>
      </c>
      <c r="H49" s="4" t="str">
        <f>HYPERLINK("http://nimonikapp.com/legislations/157253","http://nimonikapp.com/legislations/157253")</f>
        <v>http://nimonikapp.com/legislations/157253</v>
      </c>
      <c r="I49" s="1" t="s">
        <v>18</v>
      </c>
      <c r="J49" s="1" t="s">
        <v>184</v>
      </c>
      <c r="K49" s="1" t="s">
        <v>185</v>
      </c>
      <c r="L49" s="5">
        <v>44713.0</v>
      </c>
      <c r="N49" s="5">
        <v>44859.0</v>
      </c>
    </row>
    <row r="50">
      <c r="A50" s="1" t="s">
        <v>14</v>
      </c>
      <c r="B50" s="1" t="s">
        <v>25</v>
      </c>
      <c r="C50" s="1" t="str">
        <f>Vlookup(F50,'Oil &amp; Gas Documents - Canada'!F:M,2,FALSE)</f>
        <v>oil_and_gas</v>
      </c>
      <c r="D50" s="1" t="str">
        <f>Vlookup(F50,'Oil &amp; Gas Documents - Canada'!F:N,9,FALSE)</f>
        <v/>
      </c>
      <c r="E50" s="1" t="s">
        <v>186</v>
      </c>
      <c r="F50" s="1" t="s">
        <v>187</v>
      </c>
      <c r="G50" s="2" t="s">
        <v>188</v>
      </c>
      <c r="H50" s="4" t="str">
        <f>HYPERLINK("http://nimonikapp.com/legislations/129724","http://nimonikapp.com/legislations/129724")</f>
        <v>http://nimonikapp.com/legislations/129724</v>
      </c>
      <c r="I50" s="1" t="s">
        <v>18</v>
      </c>
      <c r="J50" s="1" t="s">
        <v>189</v>
      </c>
      <c r="K50" s="1" t="s">
        <v>190</v>
      </c>
      <c r="L50" s="5">
        <v>44774.0</v>
      </c>
      <c r="N50" s="5">
        <v>44859.0</v>
      </c>
    </row>
    <row r="51">
      <c r="A51" s="1" t="s">
        <v>21</v>
      </c>
      <c r="B51" s="1" t="s">
        <v>25</v>
      </c>
      <c r="C51" s="1" t="str">
        <f>Vlookup(F51,'Oil &amp; Gas Documents - Canada'!F:M,2,FALSE)</f>
        <v>oil_and_gas</v>
      </c>
      <c r="D51" s="1" t="str">
        <f>Vlookup(F51,'Oil &amp; Gas Documents - Canada'!F:N,9,FALSE)</f>
        <v/>
      </c>
      <c r="E51" s="1" t="s">
        <v>136</v>
      </c>
      <c r="F51" s="1" t="s">
        <v>137</v>
      </c>
      <c r="G51" s="2" t="s">
        <v>138</v>
      </c>
      <c r="H51" s="4" t="str">
        <f>HYPERLINK("http://nimonikapp.com/legislations/284609","http://nimonikapp.com/legislations/284609")</f>
        <v>http://nimonikapp.com/legislations/284609</v>
      </c>
      <c r="I51" s="1" t="s">
        <v>18</v>
      </c>
      <c r="J51" s="1" t="s">
        <v>191</v>
      </c>
      <c r="K51" s="1" t="s">
        <v>192</v>
      </c>
      <c r="L51" s="5">
        <v>44853.0</v>
      </c>
      <c r="M51" s="5">
        <v>44853.0</v>
      </c>
      <c r="N51" s="5">
        <v>44854.0</v>
      </c>
    </row>
    <row r="52">
      <c r="A52" s="1" t="s">
        <v>21</v>
      </c>
      <c r="B52" s="1" t="s">
        <v>25</v>
      </c>
      <c r="C52" s="1" t="str">
        <f>Vlookup(F52,'Oil &amp; Gas Documents - Canada'!F:M,2,FALSE)</f>
        <v>oil_and_gas</v>
      </c>
      <c r="D52" s="1" t="str">
        <f>Vlookup(F52,'Oil &amp; Gas Documents - Canada'!F:N,9,FALSE)</f>
        <v/>
      </c>
      <c r="E52" s="1" t="s">
        <v>193</v>
      </c>
      <c r="F52" s="1" t="s">
        <v>194</v>
      </c>
      <c r="G52" s="2" t="s">
        <v>195</v>
      </c>
      <c r="H52" s="4" t="str">
        <f>HYPERLINK("http://nimonikapp.com/legislations/4042","http://nimonikapp.com/legislations/4042")</f>
        <v>http://nimonikapp.com/legislations/4042</v>
      </c>
      <c r="I52" s="1" t="s">
        <v>18</v>
      </c>
      <c r="J52" s="1" t="s">
        <v>191</v>
      </c>
      <c r="K52" s="1" t="s">
        <v>192</v>
      </c>
      <c r="L52" s="5">
        <v>44853.0</v>
      </c>
      <c r="M52" s="5">
        <v>44853.0</v>
      </c>
      <c r="N52" s="5">
        <v>44854.0</v>
      </c>
    </row>
    <row r="53">
      <c r="A53" s="1" t="s">
        <v>21</v>
      </c>
      <c r="B53" s="1" t="s">
        <v>25</v>
      </c>
      <c r="C53" s="1" t="str">
        <f>Vlookup(F53,'Oil &amp; Gas Documents - Canada'!F:M,2,FALSE)</f>
        <v>oil_and_gas</v>
      </c>
      <c r="D53" s="1" t="str">
        <f>Vlookup(F53,'Oil &amp; Gas Documents - Canada'!F:N,9,FALSE)</f>
        <v/>
      </c>
      <c r="E53" s="1" t="s">
        <v>196</v>
      </c>
      <c r="F53" s="1" t="s">
        <v>197</v>
      </c>
      <c r="G53" s="2" t="s">
        <v>198</v>
      </c>
      <c r="H53" s="4" t="str">
        <f>HYPERLINK("http://nimonikapp.com/legislations/4039","http://nimonikapp.com/legislations/4039")</f>
        <v>http://nimonikapp.com/legislations/4039</v>
      </c>
      <c r="I53" s="1" t="s">
        <v>18</v>
      </c>
      <c r="J53" s="1" t="s">
        <v>191</v>
      </c>
      <c r="K53" s="1" t="s">
        <v>192</v>
      </c>
      <c r="L53" s="5">
        <v>44853.0</v>
      </c>
      <c r="M53" s="5">
        <v>44853.0</v>
      </c>
      <c r="N53" s="5">
        <v>44854.0</v>
      </c>
    </row>
    <row r="54">
      <c r="A54" s="1" t="s">
        <v>21</v>
      </c>
      <c r="B54" s="1" t="s">
        <v>25</v>
      </c>
      <c r="C54" s="1" t="str">
        <f>Vlookup(F54,'Oil &amp; Gas Documents - Canada'!F:M,2,FALSE)</f>
        <v>oil_and_gas</v>
      </c>
      <c r="D54" s="1" t="str">
        <f>Vlookup(F54,'Oil &amp; Gas Documents - Canada'!F:N,9,FALSE)</f>
        <v/>
      </c>
      <c r="E54" s="1" t="s">
        <v>199</v>
      </c>
      <c r="F54" s="1" t="s">
        <v>200</v>
      </c>
      <c r="G54" s="2" t="s">
        <v>201</v>
      </c>
      <c r="H54" s="4" t="str">
        <f>HYPERLINK("http://nimonikapp.com/legislations/113529","http://nimonikapp.com/legislations/113529")</f>
        <v>http://nimonikapp.com/legislations/113529</v>
      </c>
      <c r="I54" s="1" t="s">
        <v>18</v>
      </c>
      <c r="J54" s="1" t="s">
        <v>191</v>
      </c>
      <c r="K54" s="1" t="s">
        <v>192</v>
      </c>
      <c r="L54" s="5">
        <v>44853.0</v>
      </c>
      <c r="M54" s="5">
        <v>44853.0</v>
      </c>
      <c r="N54" s="5">
        <v>44854.0</v>
      </c>
    </row>
    <row r="55">
      <c r="A55" s="1" t="s">
        <v>202</v>
      </c>
      <c r="B55" s="1" t="s">
        <v>25</v>
      </c>
      <c r="C55" s="1" t="s">
        <v>26</v>
      </c>
      <c r="D55" s="1" t="str">
        <f>Vlookup(F55,'Oil &amp; Gas Documents - Canada'!F:N,9,FALSE)</f>
        <v>#N/A</v>
      </c>
      <c r="E55" s="1" t="s">
        <v>203</v>
      </c>
      <c r="F55" s="1" t="s">
        <v>204</v>
      </c>
      <c r="G55" s="2" t="s">
        <v>205</v>
      </c>
      <c r="H55" s="4" t="str">
        <f>HYPERLINK("http://nimonikapp.com/legislations/268535","http://nimonikapp.com/legislations/268535")</f>
        <v>http://nimonikapp.com/legislations/268535</v>
      </c>
      <c r="I55" s="1" t="s">
        <v>18</v>
      </c>
      <c r="J55" s="1" t="s">
        <v>206</v>
      </c>
      <c r="K55" s="1" t="s">
        <v>207</v>
      </c>
      <c r="L55" s="5">
        <v>44853.0</v>
      </c>
      <c r="M55" s="5">
        <v>44713.0</v>
      </c>
      <c r="N55" s="5">
        <v>44853.0</v>
      </c>
    </row>
    <row r="56">
      <c r="A56" s="1" t="s">
        <v>73</v>
      </c>
      <c r="B56" s="1" t="s">
        <v>25</v>
      </c>
      <c r="C56" s="1" t="str">
        <f>Vlookup(F56,'Oil &amp; Gas Documents - Canada'!F:M,2,FALSE)</f>
        <v>oil_and_gas</v>
      </c>
      <c r="D56" s="1" t="str">
        <f>Vlookup(F56,'Oil &amp; Gas Documents - Canada'!F:N,9,FALSE)</f>
        <v/>
      </c>
      <c r="E56" s="1" t="s">
        <v>208</v>
      </c>
      <c r="F56" s="1" t="s">
        <v>209</v>
      </c>
      <c r="G56" s="2" t="s">
        <v>210</v>
      </c>
      <c r="H56" s="4" t="str">
        <f>HYPERLINK("http://nimonikapp.com/legislations/4018","http://nimonikapp.com/legislations/4018")</f>
        <v>http://nimonikapp.com/legislations/4018</v>
      </c>
      <c r="I56" s="1" t="s">
        <v>18</v>
      </c>
      <c r="J56" s="1" t="s">
        <v>211</v>
      </c>
      <c r="K56" s="1" t="s">
        <v>212</v>
      </c>
      <c r="L56" s="5">
        <v>44846.0</v>
      </c>
      <c r="M56" s="5">
        <v>44831.0</v>
      </c>
      <c r="N56" s="5">
        <v>44846.0</v>
      </c>
    </row>
    <row r="57">
      <c r="A57" s="1" t="s">
        <v>73</v>
      </c>
      <c r="B57" s="1" t="s">
        <v>25</v>
      </c>
      <c r="C57" s="1" t="s">
        <v>26</v>
      </c>
      <c r="D57" s="1" t="str">
        <f>Vlookup(F57,'Oil &amp; Gas Documents - Canada'!F:N,9,FALSE)</f>
        <v>#N/A</v>
      </c>
      <c r="E57" s="1" t="s">
        <v>213</v>
      </c>
      <c r="F57" s="1" t="s">
        <v>214</v>
      </c>
      <c r="G57" s="2" t="s">
        <v>215</v>
      </c>
      <c r="H57" s="4" t="str">
        <f>HYPERLINK("http://nimonikapp.com/legislations/3961","http://nimonikapp.com/legislations/3961")</f>
        <v>http://nimonikapp.com/legislations/3961</v>
      </c>
      <c r="I57" s="1" t="s">
        <v>18</v>
      </c>
      <c r="J57" s="1" t="s">
        <v>216</v>
      </c>
      <c r="K57" s="1" t="s">
        <v>217</v>
      </c>
      <c r="L57" s="5">
        <v>44846.0</v>
      </c>
      <c r="M57" s="5">
        <v>44837.0</v>
      </c>
      <c r="N57" s="5">
        <v>44846.0</v>
      </c>
    </row>
    <row r="58">
      <c r="A58" s="1" t="s">
        <v>73</v>
      </c>
      <c r="B58" s="1" t="s">
        <v>25</v>
      </c>
      <c r="C58" s="1" t="s">
        <v>26</v>
      </c>
      <c r="D58" s="1" t="str">
        <f>Vlookup(F58,'Oil &amp; Gas Documents - Canada'!F:N,9,FALSE)</f>
        <v>#N/A</v>
      </c>
      <c r="E58" s="1" t="s">
        <v>218</v>
      </c>
      <c r="F58" s="1" t="s">
        <v>219</v>
      </c>
      <c r="G58" s="2" t="s">
        <v>220</v>
      </c>
      <c r="H58" s="4" t="str">
        <f>HYPERLINK("http://nimonikapp.com/legislations/879","http://nimonikapp.com/legislations/879")</f>
        <v>http://nimonikapp.com/legislations/879</v>
      </c>
      <c r="I58" s="1" t="s">
        <v>18</v>
      </c>
      <c r="J58" s="1" t="s">
        <v>216</v>
      </c>
      <c r="K58" s="1" t="s">
        <v>217</v>
      </c>
      <c r="L58" s="5">
        <v>44846.0</v>
      </c>
      <c r="M58" s="5">
        <v>44837.0</v>
      </c>
      <c r="N58" s="5">
        <v>44846.0</v>
      </c>
    </row>
    <row r="59">
      <c r="A59" s="1" t="s">
        <v>221</v>
      </c>
      <c r="B59" s="1" t="s">
        <v>15</v>
      </c>
      <c r="C59" s="1" t="s">
        <v>26</v>
      </c>
      <c r="D59" s="1" t="str">
        <f>Vlookup(F59,'Oil &amp; Gas Documents - Canada'!F:N,9,FALSE)</f>
        <v>#N/A</v>
      </c>
      <c r="E59" s="1" t="s">
        <v>222</v>
      </c>
      <c r="F59" s="1" t="s">
        <v>223</v>
      </c>
      <c r="G59" s="3"/>
      <c r="H59" s="4" t="str">
        <f>HYPERLINK("http://nimonikapp.com/legislations/115673","http://nimonikapp.com/legislations/115673")</f>
        <v>http://nimonikapp.com/legislations/115673</v>
      </c>
      <c r="I59" s="1" t="s">
        <v>18</v>
      </c>
      <c r="J59" s="1" t="s">
        <v>224</v>
      </c>
      <c r="K59" s="1" t="s">
        <v>225</v>
      </c>
      <c r="L59" s="5">
        <v>42522.0</v>
      </c>
      <c r="N59" s="5">
        <v>44840.0</v>
      </c>
    </row>
    <row r="60">
      <c r="A60" s="1" t="s">
        <v>73</v>
      </c>
      <c r="B60" s="1" t="s">
        <v>25</v>
      </c>
      <c r="C60" s="1" t="str">
        <f>Vlookup(F60,'Oil &amp; Gas Documents - Canada'!F:M,2,FALSE)</f>
        <v>oil_and_gas</v>
      </c>
      <c r="D60" s="1" t="str">
        <f>Vlookup(F60,'Oil &amp; Gas Documents - Canada'!F:N,9,FALSE)</f>
        <v/>
      </c>
      <c r="E60" s="1" t="s">
        <v>74</v>
      </c>
      <c r="F60" s="1" t="s">
        <v>75</v>
      </c>
      <c r="G60" s="2" t="s">
        <v>76</v>
      </c>
      <c r="H60" s="4" t="str">
        <f t="shared" ref="H60:H62" si="3">HYPERLINK("http://nimonikapp.com/legislations/10243","http://nimonikapp.com/legislations/10243")</f>
        <v>http://nimonikapp.com/legislations/10243</v>
      </c>
      <c r="I60" s="1" t="s">
        <v>18</v>
      </c>
      <c r="J60" s="1" t="s">
        <v>226</v>
      </c>
      <c r="K60" s="1" t="s">
        <v>227</v>
      </c>
      <c r="L60" s="5">
        <v>44519.0</v>
      </c>
      <c r="M60" s="5">
        <v>44519.0</v>
      </c>
      <c r="N60" s="5">
        <v>44839.0</v>
      </c>
    </row>
    <row r="61">
      <c r="A61" s="1" t="s">
        <v>73</v>
      </c>
      <c r="B61" s="1" t="s">
        <v>25</v>
      </c>
      <c r="C61" s="1" t="str">
        <f>Vlookup(F61,'Oil &amp; Gas Documents - Canada'!F:M,2,FALSE)</f>
        <v>oil_and_gas</v>
      </c>
      <c r="D61" s="1" t="str">
        <f>Vlookup(F61,'Oil &amp; Gas Documents - Canada'!F:N,9,FALSE)</f>
        <v/>
      </c>
      <c r="E61" s="1" t="s">
        <v>74</v>
      </c>
      <c r="F61" s="1" t="s">
        <v>75</v>
      </c>
      <c r="G61" s="2" t="s">
        <v>76</v>
      </c>
      <c r="H61" s="4" t="str">
        <f t="shared" si="3"/>
        <v>http://nimonikapp.com/legislations/10243</v>
      </c>
      <c r="I61" s="1" t="s">
        <v>18</v>
      </c>
      <c r="J61" s="1" t="s">
        <v>228</v>
      </c>
      <c r="K61" s="1" t="s">
        <v>229</v>
      </c>
      <c r="L61" s="5">
        <v>44587.0</v>
      </c>
      <c r="M61" s="5">
        <v>44587.0</v>
      </c>
      <c r="N61" s="5">
        <v>44839.0</v>
      </c>
    </row>
    <row r="62">
      <c r="A62" s="1" t="s">
        <v>73</v>
      </c>
      <c r="B62" s="1" t="s">
        <v>25</v>
      </c>
      <c r="C62" s="1" t="str">
        <f>Vlookup(F62,'Oil &amp; Gas Documents - Canada'!F:M,2,FALSE)</f>
        <v>oil_and_gas</v>
      </c>
      <c r="D62" s="1" t="str">
        <f>Vlookup(F62,'Oil &amp; Gas Documents - Canada'!F:N,9,FALSE)</f>
        <v/>
      </c>
      <c r="E62" s="1" t="s">
        <v>74</v>
      </c>
      <c r="F62" s="1" t="s">
        <v>75</v>
      </c>
      <c r="G62" s="2" t="s">
        <v>76</v>
      </c>
      <c r="H62" s="4" t="str">
        <f t="shared" si="3"/>
        <v>http://nimonikapp.com/legislations/10243</v>
      </c>
      <c r="I62" s="1" t="s">
        <v>18</v>
      </c>
      <c r="J62" s="1" t="s">
        <v>230</v>
      </c>
      <c r="K62" s="1" t="s">
        <v>231</v>
      </c>
      <c r="L62" s="5">
        <v>44804.0</v>
      </c>
      <c r="M62" s="5">
        <v>44804.0</v>
      </c>
      <c r="N62" s="5">
        <v>44839.0</v>
      </c>
    </row>
    <row r="63">
      <c r="A63" s="1" t="s">
        <v>21</v>
      </c>
      <c r="B63" s="1" t="s">
        <v>25</v>
      </c>
      <c r="C63" s="1" t="str">
        <f>Vlookup(F63,'Oil &amp; Gas Documents - Canada'!F:M,2,FALSE)</f>
        <v>oil_and_gas</v>
      </c>
      <c r="D63" s="1" t="str">
        <f>Vlookup(F63,'Oil &amp; Gas Documents - Canada'!F:N,9,FALSE)</f>
        <v/>
      </c>
      <c r="E63" s="1" t="s">
        <v>232</v>
      </c>
      <c r="F63" s="1" t="s">
        <v>233</v>
      </c>
      <c r="G63" s="2" t="s">
        <v>234</v>
      </c>
      <c r="H63" s="4" t="str">
        <f>HYPERLINK("http://nimonikapp.com/legislations/91195","http://nimonikapp.com/legislations/91195")</f>
        <v>http://nimonikapp.com/legislations/91195</v>
      </c>
      <c r="I63" s="1" t="s">
        <v>18</v>
      </c>
      <c r="J63" s="1" t="s">
        <v>235</v>
      </c>
      <c r="K63" s="1" t="s">
        <v>236</v>
      </c>
      <c r="L63" s="5">
        <v>44837.0</v>
      </c>
      <c r="M63" s="5">
        <v>44837.0</v>
      </c>
      <c r="N63" s="5">
        <v>44837.0</v>
      </c>
    </row>
    <row r="64">
      <c r="A64" s="1" t="s">
        <v>21</v>
      </c>
      <c r="B64" s="1" t="s">
        <v>25</v>
      </c>
      <c r="C64" s="1" t="str">
        <f>Vlookup(F64,'Oil &amp; Gas Documents - Canada'!F:M,2,FALSE)</f>
        <v>oil_and_gas</v>
      </c>
      <c r="D64" s="1" t="str">
        <f>Vlookup(F64,'Oil &amp; Gas Documents - Canada'!F:N,9,FALSE)</f>
        <v/>
      </c>
      <c r="E64" s="1" t="s">
        <v>237</v>
      </c>
      <c r="F64" s="1" t="s">
        <v>238</v>
      </c>
      <c r="G64" s="2" t="s">
        <v>239</v>
      </c>
      <c r="H64" s="4" t="str">
        <f>HYPERLINK("http://nimonikapp.com/legislations/4055","http://nimonikapp.com/legislations/4055")</f>
        <v>http://nimonikapp.com/legislations/4055</v>
      </c>
      <c r="I64" s="1" t="s">
        <v>18</v>
      </c>
      <c r="J64" s="1" t="s">
        <v>240</v>
      </c>
      <c r="K64" s="1" t="s">
        <v>241</v>
      </c>
      <c r="L64" s="5">
        <v>44810.0</v>
      </c>
      <c r="M64" s="5">
        <v>44810.0</v>
      </c>
      <c r="N64" s="5">
        <v>44820.0</v>
      </c>
    </row>
    <row r="65">
      <c r="A65" s="1" t="s">
        <v>73</v>
      </c>
      <c r="B65" s="1" t="s">
        <v>15</v>
      </c>
      <c r="C65" s="1" t="str">
        <f>Vlookup(F65,'Oil &amp; Gas Documents - Canada'!F:M,2,FALSE)</f>
        <v>oil_and_gas</v>
      </c>
      <c r="D65" s="1" t="str">
        <f>Vlookup(F65,'Oil &amp; Gas Documents - Canada'!F:N,9,FALSE)</f>
        <v/>
      </c>
      <c r="E65" s="1" t="s">
        <v>242</v>
      </c>
      <c r="F65" s="1" t="s">
        <v>243</v>
      </c>
      <c r="G65" s="2" t="s">
        <v>244</v>
      </c>
      <c r="H65" s="4" t="str">
        <f>HYPERLINK("http://nimonikapp.com/legislations/116984","http://nimonikapp.com/legislations/116984")</f>
        <v>http://nimonikapp.com/legislations/116984</v>
      </c>
      <c r="I65" s="1" t="s">
        <v>18</v>
      </c>
      <c r="J65" s="1" t="s">
        <v>245</v>
      </c>
      <c r="K65" s="1" t="s">
        <v>246</v>
      </c>
      <c r="L65" s="5">
        <v>44790.0</v>
      </c>
      <c r="M65" s="5">
        <v>44790.0</v>
      </c>
      <c r="N65" s="5">
        <v>44817.0</v>
      </c>
    </row>
    <row r="66">
      <c r="A66" s="1" t="s">
        <v>73</v>
      </c>
      <c r="B66" s="1" t="s">
        <v>15</v>
      </c>
      <c r="C66" s="1" t="str">
        <f>Vlookup(F66,'Oil &amp; Gas Documents - Canada'!F:M,2,FALSE)</f>
        <v>oil_and_gas</v>
      </c>
      <c r="D66" s="1" t="str">
        <f>Vlookup(F66,'Oil &amp; Gas Documents - Canada'!F:N,9,FALSE)</f>
        <v/>
      </c>
      <c r="E66" s="1" t="s">
        <v>247</v>
      </c>
      <c r="F66" s="1" t="s">
        <v>248</v>
      </c>
      <c r="G66" s="2" t="s">
        <v>249</v>
      </c>
      <c r="H66" s="4" t="str">
        <f>HYPERLINK("http://nimonikapp.com/legislations/116983","http://nimonikapp.com/legislations/116983")</f>
        <v>http://nimonikapp.com/legislations/116983</v>
      </c>
      <c r="I66" s="1" t="s">
        <v>18</v>
      </c>
      <c r="J66" s="1" t="s">
        <v>250</v>
      </c>
      <c r="K66" s="1" t="s">
        <v>251</v>
      </c>
      <c r="L66" s="5">
        <v>44789.0</v>
      </c>
      <c r="M66" s="5">
        <v>44789.0</v>
      </c>
      <c r="N66" s="5">
        <v>44817.0</v>
      </c>
    </row>
    <row r="67">
      <c r="A67" s="1" t="s">
        <v>73</v>
      </c>
      <c r="B67" s="1" t="s">
        <v>15</v>
      </c>
      <c r="C67" s="1" t="str">
        <f>Vlookup(F67,'Oil &amp; Gas Documents - Canada'!F:M,2,FALSE)</f>
        <v>oil_and_gas</v>
      </c>
      <c r="D67" s="1" t="str">
        <f>Vlookup(F67,'Oil &amp; Gas Documents - Canada'!F:N,9,FALSE)</f>
        <v/>
      </c>
      <c r="E67" s="1" t="s">
        <v>252</v>
      </c>
      <c r="F67" s="1" t="s">
        <v>253</v>
      </c>
      <c r="G67" s="2" t="s">
        <v>254</v>
      </c>
      <c r="H67" s="4" t="str">
        <f>HYPERLINK("http://nimonikapp.com/legislations/117072","http://nimonikapp.com/legislations/117072")</f>
        <v>http://nimonikapp.com/legislations/117072</v>
      </c>
      <c r="I67" s="1" t="s">
        <v>18</v>
      </c>
      <c r="J67" s="1" t="s">
        <v>255</v>
      </c>
      <c r="K67" s="1" t="s">
        <v>256</v>
      </c>
      <c r="L67" s="5">
        <v>44789.0</v>
      </c>
      <c r="M67" s="5">
        <v>44789.0</v>
      </c>
      <c r="N67" s="5">
        <v>44817.0</v>
      </c>
    </row>
    <row r="68">
      <c r="A68" s="1" t="s">
        <v>73</v>
      </c>
      <c r="B68" s="1" t="s">
        <v>15</v>
      </c>
      <c r="C68" s="1" t="str">
        <f>Vlookup(F68,'Oil &amp; Gas Documents - Canada'!F:M,2,FALSE)</f>
        <v>oil_and_gas</v>
      </c>
      <c r="D68" s="1" t="str">
        <f>Vlookup(F68,'Oil &amp; Gas Documents - Canada'!F:N,9,FALSE)</f>
        <v/>
      </c>
      <c r="E68" s="1" t="s">
        <v>257</v>
      </c>
      <c r="F68" s="1" t="s">
        <v>258</v>
      </c>
      <c r="G68" s="2" t="s">
        <v>259</v>
      </c>
      <c r="H68" s="4" t="str">
        <f>HYPERLINK("http://nimonikapp.com/legislations/116985","http://nimonikapp.com/legislations/116985")</f>
        <v>http://nimonikapp.com/legislations/116985</v>
      </c>
      <c r="I68" s="1" t="s">
        <v>18</v>
      </c>
      <c r="J68" s="1" t="s">
        <v>260</v>
      </c>
      <c r="K68" s="1" t="s">
        <v>261</v>
      </c>
      <c r="L68" s="5">
        <v>44789.0</v>
      </c>
      <c r="M68" s="5">
        <v>44789.0</v>
      </c>
      <c r="N68" s="5">
        <v>44817.0</v>
      </c>
    </row>
    <row r="69">
      <c r="A69" s="1" t="s">
        <v>24</v>
      </c>
      <c r="B69" s="1" t="s">
        <v>25</v>
      </c>
      <c r="C69" s="1" t="str">
        <f>Vlookup(F69,'Oil &amp; Gas Documents - Canada'!F:M,2,FALSE)</f>
        <v>oil_and_gas</v>
      </c>
      <c r="D69" s="1" t="str">
        <f>Vlookup(F69,'Oil &amp; Gas Documents - Canada'!F:N,9,FALSE)</f>
        <v/>
      </c>
      <c r="E69" s="1" t="s">
        <v>262</v>
      </c>
      <c r="F69" s="1" t="s">
        <v>263</v>
      </c>
      <c r="G69" s="2" t="s">
        <v>264</v>
      </c>
      <c r="H69" s="4" t="str">
        <f>HYPERLINK("http://nimonikapp.com/legislations/284789","http://nimonikapp.com/legislations/284789")</f>
        <v>http://nimonikapp.com/legislations/284789</v>
      </c>
      <c r="I69" s="1" t="s">
        <v>18</v>
      </c>
      <c r="J69" s="1" t="s">
        <v>265</v>
      </c>
      <c r="K69" s="1" t="s">
        <v>109</v>
      </c>
      <c r="L69" s="5">
        <v>44803.0</v>
      </c>
      <c r="M69" s="5">
        <v>45078.0</v>
      </c>
      <c r="N69" s="5">
        <v>44810.0</v>
      </c>
    </row>
    <row r="70">
      <c r="A70" s="1" t="s">
        <v>24</v>
      </c>
      <c r="B70" s="1" t="s">
        <v>25</v>
      </c>
      <c r="C70" s="1" t="str">
        <f>Vlookup(F70,'Oil &amp; Gas Documents - Canada'!F:M,2,FALSE)</f>
        <v>oil_and_gas</v>
      </c>
      <c r="D70" s="1" t="str">
        <f>Vlookup(F70,'Oil &amp; Gas Documents - Canada'!F:N,9,FALSE)</f>
        <v/>
      </c>
      <c r="E70" s="1" t="s">
        <v>266</v>
      </c>
      <c r="F70" s="1" t="s">
        <v>267</v>
      </c>
      <c r="G70" s="2" t="s">
        <v>268</v>
      </c>
      <c r="H70" s="4" t="str">
        <f>HYPERLINK("http://nimonikapp.com/legislations/96054","http://nimonikapp.com/legislations/96054")</f>
        <v>http://nimonikapp.com/legislations/96054</v>
      </c>
      <c r="I70" s="1" t="s">
        <v>18</v>
      </c>
      <c r="J70" s="1" t="s">
        <v>265</v>
      </c>
      <c r="K70" s="1" t="s">
        <v>109</v>
      </c>
      <c r="L70" s="5">
        <v>44803.0</v>
      </c>
      <c r="M70" s="5">
        <v>45078.0</v>
      </c>
      <c r="N70" s="5">
        <v>44810.0</v>
      </c>
    </row>
    <row r="71">
      <c r="A71" s="1" t="s">
        <v>24</v>
      </c>
      <c r="B71" s="1" t="s">
        <v>25</v>
      </c>
      <c r="C71" s="1" t="str">
        <f>Vlookup(F71,'Oil &amp; Gas Documents - Canada'!F:M,2,FALSE)</f>
        <v>oil_and_gas</v>
      </c>
      <c r="D71" s="1" t="str">
        <f>Vlookup(F71,'Oil &amp; Gas Documents - Canada'!F:N,9,FALSE)</f>
        <v/>
      </c>
      <c r="E71" s="1" t="s">
        <v>269</v>
      </c>
      <c r="F71" s="1" t="s">
        <v>270</v>
      </c>
      <c r="G71" s="2" t="s">
        <v>271</v>
      </c>
      <c r="H71" s="4" t="str">
        <f>HYPERLINK("http://nimonikapp.com/legislations/16903","http://nimonikapp.com/legislations/16903")</f>
        <v>http://nimonikapp.com/legislations/16903</v>
      </c>
      <c r="I71" s="1" t="s">
        <v>18</v>
      </c>
      <c r="J71" s="1" t="s">
        <v>265</v>
      </c>
      <c r="K71" s="1" t="s">
        <v>109</v>
      </c>
      <c r="L71" s="5">
        <v>44803.0</v>
      </c>
      <c r="M71" s="5">
        <v>45078.0</v>
      </c>
      <c r="N71" s="5">
        <v>44810.0</v>
      </c>
    </row>
    <row r="72">
      <c r="A72" s="1" t="s">
        <v>21</v>
      </c>
      <c r="B72" s="1" t="s">
        <v>25</v>
      </c>
      <c r="C72" s="1" t="str">
        <f>Vlookup(F72,'Oil &amp; Gas Documents - Canada'!F:M,2,FALSE)</f>
        <v>oil_and_gas</v>
      </c>
      <c r="D72" s="1" t="str">
        <f>Vlookup(F72,'Oil &amp; Gas Documents - Canada'!F:N,9,FALSE)</f>
        <v/>
      </c>
      <c r="E72" s="1" t="s">
        <v>272</v>
      </c>
      <c r="F72" s="1" t="s">
        <v>273</v>
      </c>
      <c r="G72" s="2" t="s">
        <v>274</v>
      </c>
      <c r="H72" s="4" t="str">
        <f>HYPERLINK("http://nimonikapp.com/legislations/4115","http://nimonikapp.com/legislations/4115")</f>
        <v>http://nimonikapp.com/legislations/4115</v>
      </c>
      <c r="I72" s="1" t="s">
        <v>18</v>
      </c>
      <c r="J72" s="1" t="s">
        <v>275</v>
      </c>
      <c r="K72" s="1" t="s">
        <v>276</v>
      </c>
      <c r="L72" s="5">
        <v>44810.0</v>
      </c>
      <c r="M72" s="5">
        <v>44810.0</v>
      </c>
      <c r="N72" s="5">
        <v>44810.0</v>
      </c>
    </row>
    <row r="73">
      <c r="A73" s="1" t="s">
        <v>21</v>
      </c>
      <c r="B73" s="1" t="s">
        <v>25</v>
      </c>
      <c r="C73" s="1" t="str">
        <f>Vlookup(F73,'Oil &amp; Gas Documents - Canada'!F:M,2,FALSE)</f>
        <v>oil_and_gas</v>
      </c>
      <c r="D73" s="1" t="str">
        <f>Vlookup(F73,'Oil &amp; Gas Documents - Canada'!F:N,9,FALSE)</f>
        <v/>
      </c>
      <c r="E73" s="1" t="s">
        <v>277</v>
      </c>
      <c r="F73" s="1" t="s">
        <v>278</v>
      </c>
      <c r="G73" s="2" t="s">
        <v>279</v>
      </c>
      <c r="H73" s="4" t="str">
        <f>HYPERLINK("http://nimonikapp.com/legislations/109331","http://nimonikapp.com/legislations/109331")</f>
        <v>http://nimonikapp.com/legislations/109331</v>
      </c>
      <c r="I73" s="1" t="s">
        <v>18</v>
      </c>
      <c r="J73" s="1" t="s">
        <v>280</v>
      </c>
      <c r="K73" s="1" t="s">
        <v>281</v>
      </c>
      <c r="L73" s="5">
        <v>44795.0</v>
      </c>
      <c r="M73" s="5">
        <v>44795.0</v>
      </c>
      <c r="N73" s="5">
        <v>44810.0</v>
      </c>
    </row>
    <row r="74">
      <c r="A74" s="1" t="s">
        <v>21</v>
      </c>
      <c r="B74" s="1" t="s">
        <v>25</v>
      </c>
      <c r="C74" s="1" t="str">
        <f>Vlookup(F74,'Oil &amp; Gas Documents - Canada'!F:M,2,FALSE)</f>
        <v>oil_and_gas, utilities_and_communications</v>
      </c>
      <c r="D74" s="1" t="str">
        <f>Vlookup(F74,'Oil &amp; Gas Documents - Canada'!F:N,9,FALSE)</f>
        <v/>
      </c>
      <c r="E74" s="1" t="s">
        <v>282</v>
      </c>
      <c r="F74" s="1" t="s">
        <v>283</v>
      </c>
      <c r="G74" s="2" t="s">
        <v>284</v>
      </c>
      <c r="H74" s="4" t="str">
        <f>HYPERLINK("http://nimonikapp.com/legislations/91182","http://nimonikapp.com/legislations/91182")</f>
        <v>http://nimonikapp.com/legislations/91182</v>
      </c>
      <c r="I74" s="1" t="s">
        <v>18</v>
      </c>
      <c r="J74" s="1" t="s">
        <v>285</v>
      </c>
      <c r="K74" s="1" t="s">
        <v>286</v>
      </c>
      <c r="L74" s="5">
        <v>44795.0</v>
      </c>
      <c r="M74" s="5">
        <v>44795.0</v>
      </c>
      <c r="N74" s="5">
        <v>44810.0</v>
      </c>
    </row>
    <row r="75">
      <c r="A75" s="1" t="s">
        <v>21</v>
      </c>
      <c r="B75" s="1" t="s">
        <v>25</v>
      </c>
      <c r="C75" s="1" t="str">
        <f>Vlookup(F75,'Oil &amp; Gas Documents - Canada'!F:M,2,FALSE)</f>
        <v>oil_and_gas</v>
      </c>
      <c r="D75" s="1" t="str">
        <f>Vlookup(F75,'Oil &amp; Gas Documents - Canada'!F:N,9,FALSE)</f>
        <v/>
      </c>
      <c r="E75" s="1" t="s">
        <v>287</v>
      </c>
      <c r="F75" s="1" t="s">
        <v>288</v>
      </c>
      <c r="G75" s="2" t="s">
        <v>289</v>
      </c>
      <c r="H75" s="4" t="str">
        <f>HYPERLINK("http://nimonikapp.com/legislations/91190","http://nimonikapp.com/legislations/91190")</f>
        <v>http://nimonikapp.com/legislations/91190</v>
      </c>
      <c r="I75" s="1" t="s">
        <v>18</v>
      </c>
      <c r="J75" s="1" t="s">
        <v>290</v>
      </c>
      <c r="K75" s="1" t="s">
        <v>291</v>
      </c>
      <c r="L75" s="5">
        <v>44795.0</v>
      </c>
      <c r="M75" s="5">
        <v>44795.0</v>
      </c>
      <c r="N75" s="5">
        <v>44810.0</v>
      </c>
    </row>
    <row r="76">
      <c r="A76" s="1" t="s">
        <v>21</v>
      </c>
      <c r="B76" s="1" t="s">
        <v>25</v>
      </c>
      <c r="C76" s="1" t="str">
        <f>Vlookup(F76,'Oil &amp; Gas Documents - Canada'!F:M,2,FALSE)</f>
        <v>oil_and_gas</v>
      </c>
      <c r="D76" s="1" t="str">
        <f>Vlookup(F76,'Oil &amp; Gas Documents - Canada'!F:N,9,FALSE)</f>
        <v/>
      </c>
      <c r="E76" s="1" t="s">
        <v>292</v>
      </c>
      <c r="F76" s="1" t="s">
        <v>293</v>
      </c>
      <c r="G76" s="2" t="s">
        <v>294</v>
      </c>
      <c r="H76" s="4" t="str">
        <f>HYPERLINK("http://nimonikapp.com/legislations/4053","http://nimonikapp.com/legislations/4053")</f>
        <v>http://nimonikapp.com/legislations/4053</v>
      </c>
      <c r="I76" s="1" t="s">
        <v>18</v>
      </c>
      <c r="J76" s="1" t="s">
        <v>295</v>
      </c>
      <c r="K76" s="1" t="s">
        <v>296</v>
      </c>
      <c r="L76" s="5">
        <v>44796.0</v>
      </c>
      <c r="M76" s="5">
        <v>44796.0</v>
      </c>
      <c r="N76" s="5">
        <v>44810.0</v>
      </c>
    </row>
    <row r="77">
      <c r="A77" s="1" t="s">
        <v>21</v>
      </c>
      <c r="B77" s="1" t="s">
        <v>25</v>
      </c>
      <c r="C77" s="1" t="str">
        <f>Vlookup(F77,'Oil &amp; Gas Documents - Canada'!F:M,2,FALSE)</f>
        <v>oil_and_gas</v>
      </c>
      <c r="D77" s="1" t="str">
        <f>Vlookup(F77,'Oil &amp; Gas Documents - Canada'!F:N,9,FALSE)</f>
        <v/>
      </c>
      <c r="E77" s="1" t="s">
        <v>297</v>
      </c>
      <c r="F77" s="1" t="s">
        <v>298</v>
      </c>
      <c r="G77" s="2" t="s">
        <v>299</v>
      </c>
      <c r="H77" s="4" t="str">
        <f>HYPERLINK("http://nimonikapp.com/legislations/4047","http://nimonikapp.com/legislations/4047")</f>
        <v>http://nimonikapp.com/legislations/4047</v>
      </c>
      <c r="I77" s="1" t="s">
        <v>18</v>
      </c>
      <c r="J77" s="1" t="s">
        <v>300</v>
      </c>
      <c r="K77" s="1" t="s">
        <v>301</v>
      </c>
      <c r="L77" s="5">
        <v>44805.0</v>
      </c>
      <c r="M77" s="5">
        <v>44805.0</v>
      </c>
      <c r="N77" s="5">
        <v>44810.0</v>
      </c>
    </row>
    <row r="78">
      <c r="A78" s="1" t="s">
        <v>21</v>
      </c>
      <c r="B78" s="1" t="s">
        <v>25</v>
      </c>
      <c r="C78" s="1" t="str">
        <f>Vlookup(F78,'Oil &amp; Gas Documents - Canada'!F:M,2,FALSE)</f>
        <v>oil_and_gas</v>
      </c>
      <c r="D78" s="1" t="str">
        <f>Vlookup(F78,'Oil &amp; Gas Documents - Canada'!F:N,9,FALSE)</f>
        <v/>
      </c>
      <c r="E78" s="1" t="s">
        <v>302</v>
      </c>
      <c r="F78" s="1" t="s">
        <v>303</v>
      </c>
      <c r="G78" s="2" t="s">
        <v>304</v>
      </c>
      <c r="H78" s="4" t="str">
        <f>HYPERLINK("http://nimonikapp.com/legislations/91192","http://nimonikapp.com/legislations/91192")</f>
        <v>http://nimonikapp.com/legislations/91192</v>
      </c>
      <c r="I78" s="1" t="s">
        <v>18</v>
      </c>
      <c r="J78" s="1" t="s">
        <v>305</v>
      </c>
      <c r="K78" s="1" t="s">
        <v>306</v>
      </c>
      <c r="L78" s="5">
        <v>44797.0</v>
      </c>
      <c r="M78" s="5">
        <v>44797.0</v>
      </c>
      <c r="N78" s="5">
        <v>44805.0</v>
      </c>
    </row>
    <row r="79">
      <c r="A79" s="1" t="s">
        <v>21</v>
      </c>
      <c r="B79" s="1" t="s">
        <v>25</v>
      </c>
      <c r="C79" s="1" t="str">
        <f>Vlookup(F79,'Oil &amp; Gas Documents - Canada'!F:M,2,FALSE)</f>
        <v>oil_and_gas</v>
      </c>
      <c r="D79" s="1" t="str">
        <f>Vlookup(F79,'Oil &amp; Gas Documents - Canada'!F:N,9,FALSE)</f>
        <v/>
      </c>
      <c r="E79" s="1" t="s">
        <v>307</v>
      </c>
      <c r="F79" s="1" t="s">
        <v>308</v>
      </c>
      <c r="G79" s="2" t="s">
        <v>309</v>
      </c>
      <c r="H79" s="4" t="str">
        <f>HYPERLINK("http://nimonikapp.com/legislations/4045","http://nimonikapp.com/legislations/4045")</f>
        <v>http://nimonikapp.com/legislations/4045</v>
      </c>
      <c r="I79" s="1" t="s">
        <v>18</v>
      </c>
      <c r="J79" s="1" t="s">
        <v>310</v>
      </c>
      <c r="K79" s="1" t="s">
        <v>311</v>
      </c>
      <c r="L79" s="5">
        <v>44797.0</v>
      </c>
      <c r="M79" s="5">
        <v>44797.0</v>
      </c>
      <c r="N79" s="5">
        <v>44805.0</v>
      </c>
    </row>
    <row r="80">
      <c r="A80" s="1" t="s">
        <v>21</v>
      </c>
      <c r="B80" s="1" t="s">
        <v>25</v>
      </c>
      <c r="C80" s="1" t="str">
        <f>Vlookup(F80,'Oil &amp; Gas Documents - Canada'!F:M,2,FALSE)</f>
        <v>oil_and_gas</v>
      </c>
      <c r="D80" s="1" t="str">
        <f>Vlookup(F80,'Oil &amp; Gas Documents - Canada'!F:N,9,FALSE)</f>
        <v/>
      </c>
      <c r="E80" s="1" t="s">
        <v>312</v>
      </c>
      <c r="F80" s="1" t="s">
        <v>313</v>
      </c>
      <c r="G80" s="2" t="s">
        <v>314</v>
      </c>
      <c r="H80" s="4" t="str">
        <f>HYPERLINK("http://nimonikapp.com/legislations/91185","http://nimonikapp.com/legislations/91185")</f>
        <v>http://nimonikapp.com/legislations/91185</v>
      </c>
      <c r="I80" s="1" t="s">
        <v>18</v>
      </c>
      <c r="J80" s="1" t="s">
        <v>315</v>
      </c>
      <c r="K80" s="1" t="s">
        <v>316</v>
      </c>
      <c r="L80" s="5">
        <v>44797.0</v>
      </c>
      <c r="M80" s="5">
        <v>44797.0</v>
      </c>
      <c r="N80" s="5">
        <v>44805.0</v>
      </c>
    </row>
    <row r="81">
      <c r="A81" s="1" t="s">
        <v>21</v>
      </c>
      <c r="B81" s="1" t="s">
        <v>25</v>
      </c>
      <c r="C81" s="1" t="str">
        <f>Vlookup(F81,'Oil &amp; Gas Documents - Canada'!F:M,2,FALSE)</f>
        <v>general, oil_and_gas</v>
      </c>
      <c r="D81" s="1" t="str">
        <f>Vlookup(F81,'Oil &amp; Gas Documents - Canada'!F:N,9,FALSE)</f>
        <v/>
      </c>
      <c r="E81" s="1" t="s">
        <v>317</v>
      </c>
      <c r="F81" s="1" t="s">
        <v>318</v>
      </c>
      <c r="G81" s="2" t="s">
        <v>319</v>
      </c>
      <c r="H81" s="4" t="str">
        <f>HYPERLINK("http://nimonikapp.com/legislations/4114","http://nimonikapp.com/legislations/4114")</f>
        <v>http://nimonikapp.com/legislations/4114</v>
      </c>
      <c r="I81" s="1" t="s">
        <v>18</v>
      </c>
      <c r="J81" s="1" t="s">
        <v>320</v>
      </c>
      <c r="K81" s="1" t="s">
        <v>321</v>
      </c>
      <c r="L81" s="5">
        <v>44789.0</v>
      </c>
      <c r="M81" s="5">
        <v>44789.0</v>
      </c>
      <c r="N81" s="5">
        <v>44797.0</v>
      </c>
    </row>
    <row r="82">
      <c r="A82" s="1" t="s">
        <v>53</v>
      </c>
      <c r="B82" s="1" t="s">
        <v>15</v>
      </c>
      <c r="C82" s="1" t="str">
        <f>Vlookup(F82,'Oil &amp; Gas Documents - Canada'!F:M,2,FALSE)</f>
        <v>oil_and_gas, utilities_and_communications</v>
      </c>
      <c r="D82" s="1" t="str">
        <f>Vlookup(F82,'Oil &amp; Gas Documents - Canada'!F:N,9,FALSE)</f>
        <v>[To consult the tables and Schedule "A", please visit: https://novascotia.ca/just/regulations/regs/petrol_prices.pdf].</v>
      </c>
      <c r="E82" s="1" t="s">
        <v>322</v>
      </c>
      <c r="F82" s="1" t="s">
        <v>323</v>
      </c>
      <c r="G82" s="3"/>
      <c r="H82" s="4" t="str">
        <f>HYPERLINK("http://nimonikapp.com/legislations/366605","http://nimonikapp.com/legislations/366605")</f>
        <v>http://nimonikapp.com/legislations/366605</v>
      </c>
      <c r="I82" s="1" t="s">
        <v>18</v>
      </c>
      <c r="L82" s="5">
        <v>44789.0</v>
      </c>
      <c r="N82" s="5">
        <v>44796.0</v>
      </c>
    </row>
    <row r="83">
      <c r="A83" s="1" t="s">
        <v>202</v>
      </c>
      <c r="B83" s="1" t="s">
        <v>15</v>
      </c>
      <c r="C83" s="1" t="s">
        <v>26</v>
      </c>
      <c r="D83" s="1" t="str">
        <f>Vlookup(F83,'Oil &amp; Gas Documents - Canada'!F:N,9,FALSE)</f>
        <v>#N/A</v>
      </c>
      <c r="E83" s="1" t="s">
        <v>324</v>
      </c>
      <c r="F83" s="1" t="s">
        <v>325</v>
      </c>
      <c r="G83" s="3"/>
      <c r="H83" s="4" t="str">
        <f>HYPERLINK("http://nimonikapp.com/legislations/365735","http://nimonikapp.com/legislations/365735")</f>
        <v>http://nimonikapp.com/legislations/365735</v>
      </c>
      <c r="I83" s="1" t="s">
        <v>52</v>
      </c>
      <c r="L83" s="5">
        <v>44790.0</v>
      </c>
      <c r="M83" s="5">
        <v>45292.0</v>
      </c>
      <c r="N83" s="5">
        <v>44795.0</v>
      </c>
    </row>
    <row r="84">
      <c r="A84" s="1" t="s">
        <v>202</v>
      </c>
      <c r="B84" s="1" t="s">
        <v>25</v>
      </c>
      <c r="C84" s="1" t="s">
        <v>26</v>
      </c>
      <c r="D84" s="1" t="str">
        <f>Vlookup(F84,'Oil &amp; Gas Documents - Canada'!F:N,9,FALSE)</f>
        <v>#N/A</v>
      </c>
      <c r="E84" s="1" t="s">
        <v>203</v>
      </c>
      <c r="F84" s="1" t="s">
        <v>204</v>
      </c>
      <c r="G84" s="2" t="s">
        <v>205</v>
      </c>
      <c r="H84" s="4" t="str">
        <f>HYPERLINK("http://nimonikapp.com/legislations/268535","http://nimonikapp.com/legislations/268535")</f>
        <v>http://nimonikapp.com/legislations/268535</v>
      </c>
      <c r="I84" s="1" t="s">
        <v>18</v>
      </c>
      <c r="J84" s="1" t="s">
        <v>326</v>
      </c>
      <c r="K84" s="1" t="s">
        <v>327</v>
      </c>
      <c r="L84" s="5">
        <v>44790.0</v>
      </c>
      <c r="M84" s="5">
        <v>44970.0</v>
      </c>
      <c r="N84" s="5">
        <v>44795.0</v>
      </c>
    </row>
    <row r="85">
      <c r="A85" s="1" t="s">
        <v>202</v>
      </c>
      <c r="B85" s="1" t="s">
        <v>25</v>
      </c>
      <c r="C85" s="1" t="s">
        <v>26</v>
      </c>
      <c r="D85" s="1" t="str">
        <f>Vlookup(F85,'Oil &amp; Gas Documents - Canada'!F:N,9,FALSE)</f>
        <v>#N/A</v>
      </c>
      <c r="E85" s="1" t="s">
        <v>328</v>
      </c>
      <c r="F85" s="1" t="s">
        <v>329</v>
      </c>
      <c r="G85" s="2" t="s">
        <v>330</v>
      </c>
      <c r="H85" s="4" t="str">
        <f>HYPERLINK("http://nimonikapp.com/legislations/96706","http://nimonikapp.com/legislations/96706")</f>
        <v>http://nimonikapp.com/legislations/96706</v>
      </c>
      <c r="I85" s="1" t="s">
        <v>18</v>
      </c>
      <c r="J85" s="1" t="s">
        <v>331</v>
      </c>
      <c r="K85" s="1" t="s">
        <v>332</v>
      </c>
      <c r="L85" s="5">
        <v>44790.0</v>
      </c>
      <c r="M85" s="5">
        <v>44805.0</v>
      </c>
      <c r="N85" s="5">
        <v>44795.0</v>
      </c>
    </row>
    <row r="86">
      <c r="A86" s="1" t="s">
        <v>202</v>
      </c>
      <c r="B86" s="1" t="s">
        <v>25</v>
      </c>
      <c r="C86" s="1" t="s">
        <v>26</v>
      </c>
      <c r="D86" s="1" t="str">
        <f>Vlookup(F86,'Oil &amp; Gas Documents - Canada'!F:N,9,FALSE)</f>
        <v>#N/A</v>
      </c>
      <c r="E86" s="1" t="s">
        <v>333</v>
      </c>
      <c r="F86" s="1" t="s">
        <v>334</v>
      </c>
      <c r="G86" s="2" t="s">
        <v>335</v>
      </c>
      <c r="H86" s="4" t="str">
        <f>HYPERLINK("http://nimonikapp.com/legislations/951","http://nimonikapp.com/legislations/951")</f>
        <v>http://nimonikapp.com/legislations/951</v>
      </c>
      <c r="I86" s="1" t="s">
        <v>18</v>
      </c>
      <c r="J86" s="1" t="s">
        <v>336</v>
      </c>
      <c r="K86" s="1" t="s">
        <v>337</v>
      </c>
      <c r="L86" s="5">
        <v>44790.0</v>
      </c>
      <c r="M86" s="5">
        <v>44805.0</v>
      </c>
      <c r="N86" s="5">
        <v>44795.0</v>
      </c>
    </row>
    <row r="87">
      <c r="A87" s="1" t="s">
        <v>73</v>
      </c>
      <c r="B87" s="1" t="s">
        <v>25</v>
      </c>
      <c r="C87" s="1" t="s">
        <v>26</v>
      </c>
      <c r="D87" s="1" t="str">
        <f>Vlookup(F87,'Oil &amp; Gas Documents - Canada'!F:N,9,FALSE)</f>
        <v>#N/A</v>
      </c>
      <c r="E87" s="1" t="s">
        <v>338</v>
      </c>
      <c r="F87" s="1" t="s">
        <v>339</v>
      </c>
      <c r="G87" s="2" t="s">
        <v>340</v>
      </c>
      <c r="H87" s="4" t="str">
        <f>HYPERLINK("http://nimonikapp.com/legislations/904","http://nimonikapp.com/legislations/904")</f>
        <v>http://nimonikapp.com/legislations/904</v>
      </c>
      <c r="I87" s="1" t="s">
        <v>18</v>
      </c>
      <c r="J87" s="1" t="s">
        <v>341</v>
      </c>
      <c r="K87" s="1" t="s">
        <v>342</v>
      </c>
      <c r="L87" s="5">
        <v>44765.0</v>
      </c>
      <c r="M87" s="5">
        <v>44756.0</v>
      </c>
      <c r="N87" s="5">
        <v>44769.0</v>
      </c>
    </row>
    <row r="88">
      <c r="A88" s="1" t="s">
        <v>202</v>
      </c>
      <c r="B88" s="1" t="s">
        <v>25</v>
      </c>
      <c r="C88" s="1" t="s">
        <v>26</v>
      </c>
      <c r="D88" s="1" t="str">
        <f>Vlookup(F88,'Oil &amp; Gas Documents - Canada'!F:N,9,FALSE)</f>
        <v>#N/A</v>
      </c>
      <c r="E88" s="1" t="s">
        <v>203</v>
      </c>
      <c r="F88" s="1" t="s">
        <v>204</v>
      </c>
      <c r="G88" s="2" t="s">
        <v>205</v>
      </c>
      <c r="H88" s="4" t="str">
        <f>HYPERLINK("http://nimonikapp.com/legislations/268535","http://nimonikapp.com/legislations/268535")</f>
        <v>http://nimonikapp.com/legislations/268535</v>
      </c>
      <c r="I88" s="1" t="s">
        <v>18</v>
      </c>
      <c r="J88" s="1" t="s">
        <v>343</v>
      </c>
      <c r="K88" s="1" t="s">
        <v>344</v>
      </c>
      <c r="L88" s="5">
        <v>44763.0</v>
      </c>
      <c r="M88" s="5">
        <v>44621.0</v>
      </c>
      <c r="N88" s="5">
        <v>44763.0</v>
      </c>
    </row>
    <row r="89">
      <c r="A89" s="1" t="s">
        <v>202</v>
      </c>
      <c r="B89" s="1" t="s">
        <v>25</v>
      </c>
      <c r="C89" s="1" t="s">
        <v>26</v>
      </c>
      <c r="D89" s="1" t="str">
        <f>Vlookup(F89,'Oil &amp; Gas Documents - Canada'!F:N,9,FALSE)</f>
        <v>#N/A</v>
      </c>
      <c r="E89" s="1" t="s">
        <v>345</v>
      </c>
      <c r="F89" s="1" t="s">
        <v>346</v>
      </c>
      <c r="G89" s="2" t="s">
        <v>347</v>
      </c>
      <c r="H89" s="4" t="str">
        <f>HYPERLINK("http://nimonikapp.com/legislations/115","http://nimonikapp.com/legislations/115")</f>
        <v>http://nimonikapp.com/legislations/115</v>
      </c>
      <c r="I89" s="1" t="s">
        <v>18</v>
      </c>
      <c r="J89" s="1" t="s">
        <v>348</v>
      </c>
      <c r="K89" s="1" t="s">
        <v>349</v>
      </c>
      <c r="L89" s="5">
        <v>44715.0</v>
      </c>
      <c r="M89" s="5">
        <v>44715.0</v>
      </c>
      <c r="N89" s="5">
        <v>44763.0</v>
      </c>
    </row>
    <row r="90">
      <c r="A90" s="1" t="s">
        <v>21</v>
      </c>
      <c r="B90" s="1" t="s">
        <v>25</v>
      </c>
      <c r="C90" s="1" t="str">
        <f>Vlookup(F90,'Oil &amp; Gas Documents - Canada'!F:M,2,FALSE)</f>
        <v>general, oil_and_gas</v>
      </c>
      <c r="D90" s="1" t="str">
        <f>Vlookup(F90,'Oil &amp; Gas Documents - Canada'!F:N,9,FALSE)</f>
        <v/>
      </c>
      <c r="E90" s="1" t="s">
        <v>104</v>
      </c>
      <c r="F90" s="1" t="s">
        <v>105</v>
      </c>
      <c r="G90" s="2" t="s">
        <v>106</v>
      </c>
      <c r="H90" s="4" t="str">
        <f>HYPERLINK("http://nimonikapp.com/legislations/4208","http://nimonikapp.com/legislations/4208")</f>
        <v>http://nimonikapp.com/legislations/4208</v>
      </c>
      <c r="I90" s="1" t="s">
        <v>18</v>
      </c>
      <c r="J90" s="1" t="s">
        <v>350</v>
      </c>
      <c r="K90" s="1" t="s">
        <v>351</v>
      </c>
      <c r="L90" s="5">
        <v>44757.0</v>
      </c>
      <c r="M90" s="5">
        <v>44734.0</v>
      </c>
      <c r="N90" s="5">
        <v>44761.0</v>
      </c>
    </row>
    <row r="91">
      <c r="A91" s="1" t="s">
        <v>21</v>
      </c>
      <c r="B91" s="1" t="s">
        <v>352</v>
      </c>
      <c r="C91" s="1" t="s">
        <v>26</v>
      </c>
      <c r="D91" s="1" t="str">
        <f>Vlookup(F91,'Oil &amp; Gas Documents - Canada'!F:N,9,FALSE)</f>
        <v>#N/A</v>
      </c>
      <c r="E91" s="1" t="s">
        <v>353</v>
      </c>
      <c r="F91" s="1" t="s">
        <v>354</v>
      </c>
      <c r="G91" s="2" t="s">
        <v>355</v>
      </c>
      <c r="H91" s="4" t="str">
        <f>HYPERLINK("http://nimonikapp.com/legislations/1391","http://nimonikapp.com/legislations/1391")</f>
        <v>http://nimonikapp.com/legislations/1391</v>
      </c>
      <c r="I91" s="1" t="s">
        <v>356</v>
      </c>
      <c r="J91" s="1" t="s">
        <v>357</v>
      </c>
      <c r="K91" s="1" t="s">
        <v>358</v>
      </c>
      <c r="L91" s="5">
        <v>44757.0</v>
      </c>
      <c r="M91" s="5">
        <v>44762.0</v>
      </c>
      <c r="N91" s="5">
        <v>44760.0</v>
      </c>
    </row>
    <row r="92">
      <c r="A92" s="1" t="s">
        <v>221</v>
      </c>
      <c r="B92" s="1" t="s">
        <v>25</v>
      </c>
      <c r="C92" s="1" t="s">
        <v>26</v>
      </c>
      <c r="D92" s="1" t="str">
        <f>Vlookup(F92,'Oil &amp; Gas Documents - Canada'!F:N,9,FALSE)</f>
        <v>#N/A</v>
      </c>
      <c r="E92" s="1" t="s">
        <v>359</v>
      </c>
      <c r="F92" s="1" t="s">
        <v>360</v>
      </c>
      <c r="G92" s="2" t="s">
        <v>361</v>
      </c>
      <c r="H92" s="4" t="str">
        <f>HYPERLINK("http://nimonikapp.com/legislations/118497","http://nimonikapp.com/legislations/118497")</f>
        <v>http://nimonikapp.com/legislations/118497</v>
      </c>
      <c r="I92" s="1" t="s">
        <v>18</v>
      </c>
      <c r="J92" s="1" t="s">
        <v>362</v>
      </c>
      <c r="K92" s="1" t="s">
        <v>363</v>
      </c>
      <c r="L92" s="5">
        <v>44749.0</v>
      </c>
      <c r="M92" s="5">
        <v>44805.0</v>
      </c>
      <c r="N92" s="5">
        <v>44757.0</v>
      </c>
    </row>
    <row r="93">
      <c r="A93" s="1" t="s">
        <v>73</v>
      </c>
      <c r="B93" s="1" t="s">
        <v>364</v>
      </c>
      <c r="C93" s="1" t="str">
        <f>Vlookup(F93,'Oil &amp; Gas Documents - Canada'!F:M,2,FALSE)</f>
        <v>oil_and_gas, chemicals_industry, financial_and_insurance</v>
      </c>
      <c r="D93" s="1" t="str">
        <f>Vlookup(F93,'Oil &amp; Gas Documents - Canada'!F:N,9,FALSE)</f>
        <v/>
      </c>
      <c r="E93" s="1" t="s">
        <v>365</v>
      </c>
      <c r="F93" s="1" t="s">
        <v>366</v>
      </c>
      <c r="G93" s="2" t="s">
        <v>367</v>
      </c>
      <c r="H93" s="4" t="str">
        <f>HYPERLINK("http://nimonikapp.com/legislations/907","http://nimonikapp.com/legislations/907")</f>
        <v>http://nimonikapp.com/legislations/907</v>
      </c>
      <c r="I93" s="1" t="s">
        <v>356</v>
      </c>
      <c r="J93" s="1" t="s">
        <v>368</v>
      </c>
      <c r="K93" s="1" t="s">
        <v>369</v>
      </c>
      <c r="L93" s="5">
        <v>44748.0</v>
      </c>
      <c r="M93" s="5">
        <v>44733.0</v>
      </c>
      <c r="N93" s="5">
        <v>44753.0</v>
      </c>
    </row>
    <row r="94">
      <c r="A94" s="1" t="s">
        <v>202</v>
      </c>
      <c r="B94" s="1" t="s">
        <v>25</v>
      </c>
      <c r="C94" s="1" t="s">
        <v>26</v>
      </c>
      <c r="D94" s="1" t="str">
        <f>Vlookup(F94,'Oil &amp; Gas Documents - Canada'!F:N,9,FALSE)</f>
        <v>#N/A</v>
      </c>
      <c r="E94" s="1" t="s">
        <v>328</v>
      </c>
      <c r="F94" s="1" t="s">
        <v>329</v>
      </c>
      <c r="G94" s="2" t="s">
        <v>330</v>
      </c>
      <c r="H94" s="4" t="str">
        <f>HYPERLINK("http://nimonikapp.com/legislations/96706","http://nimonikapp.com/legislations/96706")</f>
        <v>http://nimonikapp.com/legislations/96706</v>
      </c>
      <c r="I94" s="1" t="s">
        <v>18</v>
      </c>
      <c r="J94" s="1" t="s">
        <v>370</v>
      </c>
      <c r="K94" s="1" t="s">
        <v>371</v>
      </c>
      <c r="L94" s="5">
        <v>44748.0</v>
      </c>
      <c r="N94" s="5">
        <v>44748.0</v>
      </c>
    </row>
    <row r="95">
      <c r="A95" s="1" t="s">
        <v>202</v>
      </c>
      <c r="B95" s="1" t="s">
        <v>25</v>
      </c>
      <c r="C95" s="1" t="s">
        <v>26</v>
      </c>
      <c r="D95" s="1" t="str">
        <f>Vlookup(F95,'Oil &amp; Gas Documents - Canada'!F:N,9,FALSE)</f>
        <v>#N/A</v>
      </c>
      <c r="E95" s="1" t="s">
        <v>372</v>
      </c>
      <c r="F95" s="1" t="s">
        <v>373</v>
      </c>
      <c r="G95" s="2" t="s">
        <v>374</v>
      </c>
      <c r="H95" s="4" t="str">
        <f>HYPERLINK("http://nimonikapp.com/legislations/1304","http://nimonikapp.com/legislations/1304")</f>
        <v>http://nimonikapp.com/legislations/1304</v>
      </c>
      <c r="I95" s="1" t="s">
        <v>18</v>
      </c>
      <c r="J95" s="1" t="s">
        <v>370</v>
      </c>
      <c r="K95" s="1" t="s">
        <v>371</v>
      </c>
      <c r="L95" s="5">
        <v>44748.0</v>
      </c>
      <c r="N95" s="5">
        <v>44748.0</v>
      </c>
    </row>
    <row r="96">
      <c r="A96" s="1" t="s">
        <v>202</v>
      </c>
      <c r="B96" s="1" t="s">
        <v>25</v>
      </c>
      <c r="C96" s="1" t="s">
        <v>26</v>
      </c>
      <c r="D96" s="1" t="str">
        <f>Vlookup(F96,'Oil &amp; Gas Documents - Canada'!F:N,9,FALSE)</f>
        <v>#N/A</v>
      </c>
      <c r="E96" s="1" t="s">
        <v>345</v>
      </c>
      <c r="F96" s="1" t="s">
        <v>346</v>
      </c>
      <c r="G96" s="2" t="s">
        <v>347</v>
      </c>
      <c r="H96" s="4" t="str">
        <f>HYPERLINK("http://nimonikapp.com/legislations/115","http://nimonikapp.com/legislations/115")</f>
        <v>http://nimonikapp.com/legislations/115</v>
      </c>
      <c r="I96" s="1" t="s">
        <v>18</v>
      </c>
      <c r="J96" s="1" t="s">
        <v>370</v>
      </c>
      <c r="K96" s="1" t="s">
        <v>371</v>
      </c>
      <c r="L96" s="5">
        <v>44748.0</v>
      </c>
      <c r="N96" s="5">
        <v>44748.0</v>
      </c>
    </row>
    <row r="97">
      <c r="A97" s="1" t="s">
        <v>202</v>
      </c>
      <c r="B97" s="1" t="s">
        <v>25</v>
      </c>
      <c r="C97" s="1" t="s">
        <v>26</v>
      </c>
      <c r="D97" s="1" t="str">
        <f>Vlookup(F97,'Oil &amp; Gas Documents - Canada'!F:N,9,FALSE)</f>
        <v>#N/A</v>
      </c>
      <c r="E97" s="1" t="s">
        <v>375</v>
      </c>
      <c r="F97" s="1" t="s">
        <v>376</v>
      </c>
      <c r="G97" s="2" t="s">
        <v>377</v>
      </c>
      <c r="H97" s="4" t="str">
        <f>HYPERLINK("http://nimonikapp.com/legislations/35","http://nimonikapp.com/legislations/35")</f>
        <v>http://nimonikapp.com/legislations/35</v>
      </c>
      <c r="I97" s="1" t="s">
        <v>18</v>
      </c>
      <c r="J97" s="1" t="s">
        <v>370</v>
      </c>
      <c r="K97" s="1" t="s">
        <v>371</v>
      </c>
      <c r="L97" s="5">
        <v>44748.0</v>
      </c>
      <c r="N97" s="5">
        <v>44748.0</v>
      </c>
    </row>
    <row r="98">
      <c r="A98" s="1" t="s">
        <v>21</v>
      </c>
      <c r="B98" s="1" t="s">
        <v>25</v>
      </c>
      <c r="C98" s="1" t="str">
        <f>Vlookup(F98,'Oil &amp; Gas Documents - Canada'!F:M,2,FALSE)</f>
        <v>general, oil_and_gas</v>
      </c>
      <c r="D98" s="1" t="str">
        <f>Vlookup(F98,'Oil &amp; Gas Documents - Canada'!F:N,9,FALSE)</f>
        <v/>
      </c>
      <c r="E98" s="1" t="s">
        <v>104</v>
      </c>
      <c r="F98" s="1" t="s">
        <v>105</v>
      </c>
      <c r="G98" s="2" t="s">
        <v>106</v>
      </c>
      <c r="H98" s="4" t="str">
        <f>HYPERLINK("http://nimonikapp.com/legislations/4208","http://nimonikapp.com/legislations/4208")</f>
        <v>http://nimonikapp.com/legislations/4208</v>
      </c>
      <c r="I98" s="1" t="s">
        <v>18</v>
      </c>
      <c r="J98" s="1" t="s">
        <v>378</v>
      </c>
      <c r="K98" s="1" t="s">
        <v>351</v>
      </c>
      <c r="L98" s="5">
        <v>44742.0</v>
      </c>
      <c r="M98" s="5">
        <v>44722.0</v>
      </c>
      <c r="N98" s="5">
        <v>44748.0</v>
      </c>
    </row>
    <row r="99">
      <c r="A99" s="1" t="s">
        <v>21</v>
      </c>
      <c r="B99" s="1" t="s">
        <v>25</v>
      </c>
      <c r="C99" s="1" t="str">
        <f>Vlookup(F99,'Oil &amp; Gas Documents - Canada'!F:M,2,FALSE)</f>
        <v>oil_and_gas</v>
      </c>
      <c r="D99" s="1" t="str">
        <f>Vlookup(F99,'Oil &amp; Gas Documents - Canada'!F:N,9,FALSE)</f>
        <v/>
      </c>
      <c r="E99" s="1" t="s">
        <v>116</v>
      </c>
      <c r="F99" s="1" t="s">
        <v>117</v>
      </c>
      <c r="G99" s="2" t="s">
        <v>118</v>
      </c>
      <c r="H99" s="4" t="str">
        <f>HYPERLINK("http://nimonikapp.com/legislations/3688","http://nimonikapp.com/legislations/3688")</f>
        <v>http://nimonikapp.com/legislations/3688</v>
      </c>
      <c r="I99" s="1" t="s">
        <v>18</v>
      </c>
      <c r="J99" s="1" t="s">
        <v>379</v>
      </c>
      <c r="K99" s="1" t="s">
        <v>380</v>
      </c>
      <c r="L99" s="5">
        <v>44742.0</v>
      </c>
      <c r="M99" s="5">
        <v>44725.0</v>
      </c>
      <c r="N99" s="5">
        <v>44748.0</v>
      </c>
    </row>
    <row r="100">
      <c r="A100" s="1" t="s">
        <v>24</v>
      </c>
      <c r="B100" s="1" t="s">
        <v>25</v>
      </c>
      <c r="C100" s="1" t="s">
        <v>26</v>
      </c>
      <c r="D100" s="1" t="str">
        <f>Vlookup(F100,'Oil &amp; Gas Documents - Canada'!F:N,9,FALSE)</f>
        <v>#N/A</v>
      </c>
      <c r="E100" s="1" t="s">
        <v>381</v>
      </c>
      <c r="F100" s="1" t="s">
        <v>382</v>
      </c>
      <c r="G100" s="2" t="s">
        <v>383</v>
      </c>
      <c r="H100" s="4" t="str">
        <f>HYPERLINK("http://nimonikapp.com/legislations/14339","http://nimonikapp.com/legislations/14339")</f>
        <v>http://nimonikapp.com/legislations/14339</v>
      </c>
      <c r="I100" s="1" t="s">
        <v>18</v>
      </c>
      <c r="J100" s="1" t="s">
        <v>384</v>
      </c>
      <c r="K100" s="1" t="s">
        <v>385</v>
      </c>
      <c r="L100" s="5">
        <v>44740.0</v>
      </c>
      <c r="M100" s="5">
        <v>44835.0</v>
      </c>
      <c r="N100" s="5">
        <v>44746.0</v>
      </c>
    </row>
    <row r="101">
      <c r="A101" s="1" t="s">
        <v>73</v>
      </c>
      <c r="B101" s="1" t="s">
        <v>25</v>
      </c>
      <c r="C101" s="1" t="s">
        <v>26</v>
      </c>
      <c r="D101" s="1" t="str">
        <f>Vlookup(F101,'Oil &amp; Gas Documents - Canada'!F:N,9,FALSE)</f>
        <v>#N/A</v>
      </c>
      <c r="E101" s="1" t="s">
        <v>169</v>
      </c>
      <c r="F101" s="1" t="s">
        <v>170</v>
      </c>
      <c r="G101" s="2" t="s">
        <v>171</v>
      </c>
      <c r="H101" s="4" t="str">
        <f>HYPERLINK("http://nimonikapp.com/legislations/100784","http://nimonikapp.com/legislations/100784")</f>
        <v>http://nimonikapp.com/legislations/100784</v>
      </c>
      <c r="I101" s="1" t="s">
        <v>18</v>
      </c>
      <c r="J101" s="1" t="s">
        <v>386</v>
      </c>
      <c r="K101" s="1" t="s">
        <v>387</v>
      </c>
      <c r="L101" s="5">
        <v>44735.0</v>
      </c>
      <c r="M101" s="5">
        <v>44805.0</v>
      </c>
      <c r="N101" s="5">
        <v>44741.0</v>
      </c>
    </row>
    <row r="102">
      <c r="A102" s="1" t="s">
        <v>73</v>
      </c>
      <c r="B102" s="1" t="s">
        <v>25</v>
      </c>
      <c r="C102" s="1" t="str">
        <f>Vlookup(F102,'Oil &amp; Gas Documents - Canada'!F:M,2,FALSE)</f>
        <v>oil_and_gas, utilities_and_communications, mining_and_minerals_industry</v>
      </c>
      <c r="D102" s="1" t="str">
        <f>Vlookup(F102,'Oil &amp; Gas Documents - Canada'!F:N,9,FALSE)</f>
        <v/>
      </c>
      <c r="E102" s="1" t="s">
        <v>388</v>
      </c>
      <c r="F102" s="1" t="s">
        <v>389</v>
      </c>
      <c r="G102" s="3"/>
      <c r="H102" s="4" t="str">
        <f>HYPERLINK("http://nimonikapp.com/legislations/129732","http://nimonikapp.com/legislations/129732")</f>
        <v>http://nimonikapp.com/legislations/129732</v>
      </c>
      <c r="I102" s="1" t="s">
        <v>18</v>
      </c>
      <c r="J102" s="1" t="s">
        <v>390</v>
      </c>
      <c r="K102" s="1" t="s">
        <v>391</v>
      </c>
      <c r="L102" s="5">
        <v>44735.0</v>
      </c>
      <c r="M102" s="5">
        <v>44735.0</v>
      </c>
      <c r="N102" s="5">
        <v>44740.0</v>
      </c>
    </row>
    <row r="103">
      <c r="A103" s="1" t="s">
        <v>73</v>
      </c>
      <c r="B103" s="1" t="s">
        <v>15</v>
      </c>
      <c r="C103" s="1" t="str">
        <f>Vlookup(F103,'Oil &amp; Gas Documents - Canada'!F:M,2,FALSE)</f>
        <v>oil_and_gas, water_transportation</v>
      </c>
      <c r="D103" s="1" t="str">
        <f>Vlookup(F103,'Oil &amp; Gas Documents - Canada'!F:N,9,FALSE)</f>
        <v/>
      </c>
      <c r="E103" s="1" t="s">
        <v>392</v>
      </c>
      <c r="F103" s="1" t="s">
        <v>393</v>
      </c>
      <c r="G103" s="3"/>
      <c r="H103" s="4" t="str">
        <f>HYPERLINK("http://nimonikapp.com/legislations/355290","http://nimonikapp.com/legislations/355290")</f>
        <v>http://nimonikapp.com/legislations/355290</v>
      </c>
      <c r="I103" s="1" t="s">
        <v>69</v>
      </c>
      <c r="L103" s="5">
        <v>44729.0</v>
      </c>
      <c r="N103" s="5">
        <v>44734.0</v>
      </c>
    </row>
    <row r="104">
      <c r="A104" s="1" t="s">
        <v>66</v>
      </c>
      <c r="B104" s="1" t="s">
        <v>25</v>
      </c>
      <c r="C104" s="1" t="s">
        <v>26</v>
      </c>
      <c r="D104" s="1" t="str">
        <f>Vlookup(F104,'Oil &amp; Gas Documents - Canada'!F:N,9,FALSE)</f>
        <v>#N/A</v>
      </c>
      <c r="E104" s="1" t="s">
        <v>394</v>
      </c>
      <c r="F104" s="1" t="s">
        <v>395</v>
      </c>
      <c r="G104" s="2" t="s">
        <v>396</v>
      </c>
      <c r="H104" s="4" t="str">
        <f>HYPERLINK("http://nimonikapp.com/legislations/316021","http://nimonikapp.com/legislations/316021")</f>
        <v>http://nimonikapp.com/legislations/316021</v>
      </c>
      <c r="I104" s="1" t="s">
        <v>18</v>
      </c>
      <c r="J104" s="1" t="s">
        <v>397</v>
      </c>
      <c r="K104" s="1" t="s">
        <v>398</v>
      </c>
      <c r="L104" s="5">
        <v>44722.0</v>
      </c>
      <c r="M104" s="5">
        <v>44652.0</v>
      </c>
      <c r="N104" s="5">
        <v>44733.0</v>
      </c>
    </row>
    <row r="105">
      <c r="A105" s="1" t="s">
        <v>66</v>
      </c>
      <c r="B105" s="1" t="s">
        <v>25</v>
      </c>
      <c r="C105" s="1" t="s">
        <v>26</v>
      </c>
      <c r="D105" s="1" t="str">
        <f>Vlookup(F105,'Oil &amp; Gas Documents - Canada'!F:N,9,FALSE)</f>
        <v>#N/A</v>
      </c>
      <c r="E105" s="1" t="s">
        <v>399</v>
      </c>
      <c r="F105" s="1" t="s">
        <v>400</v>
      </c>
      <c r="G105" s="3"/>
      <c r="H105" s="4" t="str">
        <f t="shared" ref="H105:H106" si="4">HYPERLINK("http://nimonikapp.com/legislations/15069","http://nimonikapp.com/legislations/15069")</f>
        <v>http://nimonikapp.com/legislations/15069</v>
      </c>
      <c r="I105" s="1" t="s">
        <v>18</v>
      </c>
      <c r="J105" s="1" t="s">
        <v>401</v>
      </c>
      <c r="K105" s="1" t="s">
        <v>402</v>
      </c>
      <c r="L105" s="5">
        <v>44722.0</v>
      </c>
      <c r="M105" s="5">
        <v>44722.0</v>
      </c>
      <c r="N105" s="5">
        <v>44733.0</v>
      </c>
    </row>
    <row r="106">
      <c r="A106" s="1" t="s">
        <v>66</v>
      </c>
      <c r="B106" s="1" t="s">
        <v>25</v>
      </c>
      <c r="C106" s="1" t="s">
        <v>26</v>
      </c>
      <c r="D106" s="1" t="str">
        <f>Vlookup(F106,'Oil &amp; Gas Documents - Canada'!F:N,9,FALSE)</f>
        <v>#N/A</v>
      </c>
      <c r="E106" s="1" t="s">
        <v>399</v>
      </c>
      <c r="F106" s="1" t="s">
        <v>400</v>
      </c>
      <c r="G106" s="3"/>
      <c r="H106" s="4" t="str">
        <f t="shared" si="4"/>
        <v>http://nimonikapp.com/legislations/15069</v>
      </c>
      <c r="I106" s="1" t="s">
        <v>18</v>
      </c>
      <c r="J106" s="1" t="s">
        <v>403</v>
      </c>
      <c r="K106" s="1" t="s">
        <v>404</v>
      </c>
      <c r="L106" s="5">
        <v>44722.0</v>
      </c>
      <c r="M106" s="5">
        <v>44616.0</v>
      </c>
      <c r="N106" s="5">
        <v>44733.0</v>
      </c>
    </row>
    <row r="107">
      <c r="A107" s="1" t="s">
        <v>21</v>
      </c>
      <c r="B107" s="1" t="s">
        <v>25</v>
      </c>
      <c r="C107" s="1" t="str">
        <f>Vlookup(F107,'Oil &amp; Gas Documents - Canada'!F:M,2,FALSE)</f>
        <v>general, oil_and_gas</v>
      </c>
      <c r="D107" s="1" t="str">
        <f>Vlookup(F107,'Oil &amp; Gas Documents - Canada'!F:N,9,FALSE)</f>
        <v/>
      </c>
      <c r="E107" s="1" t="s">
        <v>405</v>
      </c>
      <c r="F107" s="1" t="s">
        <v>406</v>
      </c>
      <c r="G107" s="2" t="s">
        <v>407</v>
      </c>
      <c r="H107" s="4" t="str">
        <f>HYPERLINK("http://nimonikapp.com/legislations/4116","http://nimonikapp.com/legislations/4116")</f>
        <v>http://nimonikapp.com/legislations/4116</v>
      </c>
      <c r="I107" s="1" t="s">
        <v>18</v>
      </c>
      <c r="J107" s="1" t="s">
        <v>408</v>
      </c>
      <c r="K107" s="1" t="s">
        <v>409</v>
      </c>
      <c r="L107" s="5">
        <v>44732.0</v>
      </c>
      <c r="M107" s="5">
        <v>44732.0</v>
      </c>
      <c r="N107" s="5">
        <v>44733.0</v>
      </c>
    </row>
    <row r="108">
      <c r="A108" s="1" t="s">
        <v>73</v>
      </c>
      <c r="B108" s="1" t="s">
        <v>25</v>
      </c>
      <c r="C108" s="1" t="s">
        <v>26</v>
      </c>
      <c r="D108" s="1" t="str">
        <f>Vlookup(F108,'Oil &amp; Gas Documents - Canada'!F:N,9,FALSE)</f>
        <v>#N/A</v>
      </c>
      <c r="E108" s="1" t="s">
        <v>169</v>
      </c>
      <c r="F108" s="1" t="s">
        <v>170</v>
      </c>
      <c r="G108" s="2" t="s">
        <v>171</v>
      </c>
      <c r="H108" s="4" t="str">
        <f>HYPERLINK("http://nimonikapp.com/legislations/100784","http://nimonikapp.com/legislations/100784")</f>
        <v>http://nimonikapp.com/legislations/100784</v>
      </c>
      <c r="I108" s="1" t="s">
        <v>18</v>
      </c>
      <c r="J108" s="1" t="s">
        <v>410</v>
      </c>
      <c r="K108" s="1" t="s">
        <v>411</v>
      </c>
      <c r="L108" s="5">
        <v>44721.0</v>
      </c>
      <c r="M108" s="5">
        <v>44440.0</v>
      </c>
      <c r="N108" s="5">
        <v>44732.0</v>
      </c>
    </row>
    <row r="109">
      <c r="A109" s="1" t="s">
        <v>21</v>
      </c>
      <c r="B109" s="1" t="s">
        <v>25</v>
      </c>
      <c r="C109" s="1" t="str">
        <f>Vlookup(F109,'Oil &amp; Gas Documents - Canada'!F:M,2,FALSE)</f>
        <v>oil_and_gas, utilities_and_communications</v>
      </c>
      <c r="D109" s="1" t="str">
        <f>Vlookup(F109,'Oil &amp; Gas Documents - Canada'!F:N,9,FALSE)</f>
        <v/>
      </c>
      <c r="E109" s="1" t="s">
        <v>412</v>
      </c>
      <c r="F109" s="1" t="s">
        <v>413</v>
      </c>
      <c r="G109" s="2" t="s">
        <v>414</v>
      </c>
      <c r="H109" s="4" t="str">
        <f>HYPERLINK("http://nimonikapp.com/legislations/4034","http://nimonikapp.com/legislations/4034")</f>
        <v>http://nimonikapp.com/legislations/4034</v>
      </c>
      <c r="I109" s="1" t="s">
        <v>18</v>
      </c>
      <c r="J109" s="1" t="s">
        <v>415</v>
      </c>
      <c r="K109" s="1" t="s">
        <v>416</v>
      </c>
      <c r="L109" s="5">
        <v>44712.0</v>
      </c>
      <c r="M109" s="5">
        <v>44712.0</v>
      </c>
      <c r="N109" s="5">
        <v>44726.0</v>
      </c>
    </row>
    <row r="110">
      <c r="A110" s="1" t="s">
        <v>24</v>
      </c>
      <c r="B110" s="1" t="s">
        <v>25</v>
      </c>
      <c r="C110" s="1" t="s">
        <v>26</v>
      </c>
      <c r="D110" s="1" t="str">
        <f>Vlookup(F110,'Oil &amp; Gas Documents - Canada'!F:N,9,FALSE)</f>
        <v>#N/A</v>
      </c>
      <c r="E110" s="1" t="s">
        <v>48</v>
      </c>
      <c r="F110" s="1" t="s">
        <v>49</v>
      </c>
      <c r="G110" s="2" t="s">
        <v>29</v>
      </c>
      <c r="H110" s="4" t="str">
        <f>HYPERLINK("http://nimonikapp.com/legislations/51","http://nimonikapp.com/legislations/51")</f>
        <v>http://nimonikapp.com/legislations/51</v>
      </c>
      <c r="I110" s="1" t="s">
        <v>18</v>
      </c>
      <c r="J110" s="1" t="s">
        <v>417</v>
      </c>
      <c r="K110" s="1" t="s">
        <v>418</v>
      </c>
      <c r="L110" s="5">
        <v>44719.0</v>
      </c>
      <c r="M110" s="5">
        <v>44986.0</v>
      </c>
      <c r="N110" s="5">
        <v>44726.0</v>
      </c>
    </row>
    <row r="111">
      <c r="A111" s="1" t="s">
        <v>24</v>
      </c>
      <c r="B111" s="1" t="s">
        <v>25</v>
      </c>
      <c r="C111" s="1" t="s">
        <v>26</v>
      </c>
      <c r="D111" s="1" t="str">
        <f>Vlookup(F111,'Oil &amp; Gas Documents - Canada'!F:N,9,FALSE)</f>
        <v>#N/A</v>
      </c>
      <c r="E111" s="1" t="s">
        <v>419</v>
      </c>
      <c r="F111" s="1" t="s">
        <v>420</v>
      </c>
      <c r="G111" s="2" t="s">
        <v>421</v>
      </c>
      <c r="H111" s="4" t="str">
        <f t="shared" ref="H111:H112" si="5">HYPERLINK("http://nimonikapp.com/legislations/1110","http://nimonikapp.com/legislations/1110")</f>
        <v>http://nimonikapp.com/legislations/1110</v>
      </c>
      <c r="I111" s="1" t="s">
        <v>18</v>
      </c>
      <c r="J111" s="1" t="s">
        <v>417</v>
      </c>
      <c r="K111" s="1" t="s">
        <v>418</v>
      </c>
      <c r="L111" s="5">
        <v>44719.0</v>
      </c>
      <c r="M111" s="5">
        <v>44986.0</v>
      </c>
      <c r="N111" s="5">
        <v>44726.0</v>
      </c>
    </row>
    <row r="112">
      <c r="A112" s="1" t="s">
        <v>24</v>
      </c>
      <c r="B112" s="1" t="s">
        <v>25</v>
      </c>
      <c r="C112" s="1" t="s">
        <v>26</v>
      </c>
      <c r="D112" s="1" t="str">
        <f>Vlookup(F112,'Oil &amp; Gas Documents - Canada'!F:N,9,FALSE)</f>
        <v>#N/A</v>
      </c>
      <c r="E112" s="1" t="s">
        <v>419</v>
      </c>
      <c r="F112" s="1" t="s">
        <v>420</v>
      </c>
      <c r="G112" s="2" t="s">
        <v>421</v>
      </c>
      <c r="H112" s="4" t="str">
        <f t="shared" si="5"/>
        <v>http://nimonikapp.com/legislations/1110</v>
      </c>
      <c r="I112" s="1" t="s">
        <v>18</v>
      </c>
      <c r="J112" s="1" t="s">
        <v>422</v>
      </c>
      <c r="K112" s="1" t="s">
        <v>423</v>
      </c>
      <c r="L112" s="5">
        <v>44719.0</v>
      </c>
      <c r="M112" s="5">
        <v>44986.0</v>
      </c>
      <c r="N112" s="5">
        <v>44726.0</v>
      </c>
    </row>
    <row r="113">
      <c r="A113" s="1" t="s">
        <v>73</v>
      </c>
      <c r="B113" s="1" t="s">
        <v>25</v>
      </c>
      <c r="C113" s="1" t="s">
        <v>26</v>
      </c>
      <c r="D113" s="1" t="str">
        <f>Vlookup(F113,'Oil &amp; Gas Documents - Canada'!F:N,9,FALSE)</f>
        <v>#N/A</v>
      </c>
      <c r="E113" s="1" t="s">
        <v>424</v>
      </c>
      <c r="F113" s="1" t="s">
        <v>425</v>
      </c>
      <c r="G113" s="2" t="s">
        <v>426</v>
      </c>
      <c r="H113" s="4" t="str">
        <f>HYPERLINK("http://nimonikapp.com/legislations/130006","http://nimonikapp.com/legislations/130006")</f>
        <v>http://nimonikapp.com/legislations/130006</v>
      </c>
      <c r="I113" s="1" t="s">
        <v>18</v>
      </c>
      <c r="J113" s="1" t="s">
        <v>427</v>
      </c>
      <c r="K113" s="1" t="s">
        <v>428</v>
      </c>
      <c r="L113" s="5">
        <v>44720.0</v>
      </c>
      <c r="M113" s="5">
        <v>44701.0</v>
      </c>
      <c r="N113" s="5">
        <v>44722.0</v>
      </c>
    </row>
    <row r="114">
      <c r="A114" s="1" t="s">
        <v>21</v>
      </c>
      <c r="B114" s="1" t="s">
        <v>25</v>
      </c>
      <c r="C114" s="1" t="str">
        <f>Vlookup(F114,'Oil &amp; Gas Documents - Canada'!F:M,2,FALSE)</f>
        <v>oil_and_gas</v>
      </c>
      <c r="D114" s="1" t="str">
        <f>Vlookup(F114,'Oil &amp; Gas Documents - Canada'!F:N,9,FALSE)</f>
        <v/>
      </c>
      <c r="E114" s="1" t="s">
        <v>429</v>
      </c>
      <c r="F114" s="1" t="s">
        <v>430</v>
      </c>
      <c r="G114" s="2" t="s">
        <v>431</v>
      </c>
      <c r="H114" s="4" t="str">
        <f>HYPERLINK("http://nimonikapp.com/legislations/116387","http://nimonikapp.com/legislations/116387")</f>
        <v>http://nimonikapp.com/legislations/116387</v>
      </c>
      <c r="I114" s="1" t="s">
        <v>18</v>
      </c>
      <c r="J114" s="1" t="s">
        <v>432</v>
      </c>
      <c r="K114" s="1" t="s">
        <v>433</v>
      </c>
      <c r="L114" s="5">
        <v>44713.0</v>
      </c>
      <c r="M114" s="5">
        <v>44713.0</v>
      </c>
      <c r="N114" s="5">
        <v>44720.0</v>
      </c>
    </row>
    <row r="115">
      <c r="A115" s="1" t="s">
        <v>73</v>
      </c>
      <c r="B115" s="1" t="s">
        <v>25</v>
      </c>
      <c r="C115" s="1" t="str">
        <f>Vlookup(F115,'Oil &amp; Gas Documents - Canada'!F:M,2,FALSE)</f>
        <v>oil_and_gas</v>
      </c>
      <c r="D115" s="1" t="str">
        <f>Vlookup(F115,'Oil &amp; Gas Documents - Canada'!F:N,9,FALSE)</f>
        <v/>
      </c>
      <c r="E115" s="1" t="s">
        <v>434</v>
      </c>
      <c r="F115" s="1" t="s">
        <v>435</v>
      </c>
      <c r="G115" s="2" t="s">
        <v>436</v>
      </c>
      <c r="H115" s="4" t="str">
        <f>HYPERLINK("http://nimonikapp.com/legislations/4029","http://nimonikapp.com/legislations/4029")</f>
        <v>http://nimonikapp.com/legislations/4029</v>
      </c>
      <c r="I115" s="1" t="s">
        <v>18</v>
      </c>
      <c r="J115" s="1" t="s">
        <v>437</v>
      </c>
      <c r="K115" s="1" t="s">
        <v>438</v>
      </c>
      <c r="L115" s="5">
        <v>44720.0</v>
      </c>
      <c r="M115" s="5">
        <v>44772.0</v>
      </c>
      <c r="N115" s="5">
        <v>44720.0</v>
      </c>
    </row>
    <row r="116">
      <c r="A116" s="1" t="s">
        <v>73</v>
      </c>
      <c r="B116" s="1" t="s">
        <v>25</v>
      </c>
      <c r="C116" s="1" t="str">
        <f>Vlookup(F116,'Oil &amp; Gas Documents - Canada'!F:M,2,FALSE)</f>
        <v>oil_and_gas</v>
      </c>
      <c r="D116" s="1" t="str">
        <f>Vlookup(F116,'Oil &amp; Gas Documents - Canada'!F:N,9,FALSE)</f>
        <v/>
      </c>
      <c r="E116" s="1" t="s">
        <v>439</v>
      </c>
      <c r="F116" s="1" t="s">
        <v>440</v>
      </c>
      <c r="G116" s="2" t="s">
        <v>441</v>
      </c>
      <c r="H116" s="4" t="str">
        <f>HYPERLINK("http://nimonikapp.com/legislations/116356","http://nimonikapp.com/legislations/116356")</f>
        <v>http://nimonikapp.com/legislations/116356</v>
      </c>
      <c r="I116" s="1" t="s">
        <v>18</v>
      </c>
      <c r="J116" s="1" t="s">
        <v>442</v>
      </c>
      <c r="K116" s="1" t="s">
        <v>443</v>
      </c>
      <c r="L116" s="5">
        <v>44720.0</v>
      </c>
      <c r="M116" s="5">
        <v>44772.0</v>
      </c>
      <c r="N116" s="5">
        <v>44720.0</v>
      </c>
    </row>
    <row r="117">
      <c r="A117" s="1" t="s">
        <v>73</v>
      </c>
      <c r="B117" s="1" t="s">
        <v>25</v>
      </c>
      <c r="C117" s="1" t="str">
        <f>Vlookup(F117,'Oil &amp; Gas Documents - Canada'!F:M,2,FALSE)</f>
        <v>oil_and_gas</v>
      </c>
      <c r="D117" s="1" t="str">
        <f>Vlookup(F117,'Oil &amp; Gas Documents - Canada'!F:N,9,FALSE)</f>
        <v/>
      </c>
      <c r="E117" s="1" t="s">
        <v>444</v>
      </c>
      <c r="F117" s="1" t="s">
        <v>445</v>
      </c>
      <c r="G117" s="2" t="s">
        <v>446</v>
      </c>
      <c r="H117" s="4" t="str">
        <f>HYPERLINK("http://nimonikapp.com/legislations/10624","http://nimonikapp.com/legislations/10624")</f>
        <v>http://nimonikapp.com/legislations/10624</v>
      </c>
      <c r="I117" s="1" t="s">
        <v>18</v>
      </c>
      <c r="J117" s="1" t="s">
        <v>447</v>
      </c>
      <c r="K117" s="1" t="s">
        <v>448</v>
      </c>
      <c r="L117" s="5">
        <v>44720.0</v>
      </c>
      <c r="M117" s="5">
        <v>44772.0</v>
      </c>
      <c r="N117" s="5">
        <v>44720.0</v>
      </c>
    </row>
    <row r="118">
      <c r="A118" s="1" t="s">
        <v>24</v>
      </c>
      <c r="B118" s="1" t="s">
        <v>364</v>
      </c>
      <c r="C118" s="1" t="str">
        <f>Vlookup(F118,'Oil &amp; Gas Documents - Canada'!F:M,2,FALSE)</f>
        <v>oil_and_gas</v>
      </c>
      <c r="D118" s="1" t="str">
        <f>Vlookup(F118,'Oil &amp; Gas Documents - Canada'!F:N,9,FALSE)</f>
        <v/>
      </c>
      <c r="E118" s="1" t="s">
        <v>449</v>
      </c>
      <c r="F118" s="1" t="s">
        <v>450</v>
      </c>
      <c r="G118" s="2" t="s">
        <v>451</v>
      </c>
      <c r="H118" s="4" t="str">
        <f>HYPERLINK("http://nimonikapp.com/legislations/96047","http://nimonikapp.com/legislations/96047")</f>
        <v>http://nimonikapp.com/legislations/96047</v>
      </c>
      <c r="I118" s="1" t="s">
        <v>18</v>
      </c>
      <c r="J118" s="1" t="s">
        <v>452</v>
      </c>
      <c r="K118" s="1" t="s">
        <v>453</v>
      </c>
      <c r="L118" s="5">
        <v>44714.0</v>
      </c>
      <c r="N118" s="5">
        <v>44719.0</v>
      </c>
    </row>
    <row r="119">
      <c r="A119" s="1" t="s">
        <v>24</v>
      </c>
      <c r="B119" s="1" t="s">
        <v>25</v>
      </c>
      <c r="C119" s="1" t="s">
        <v>26</v>
      </c>
      <c r="D119" s="1" t="str">
        <f>Vlookup(F119,'Oil &amp; Gas Documents - Canada'!F:N,9,FALSE)</f>
        <v>#N/A</v>
      </c>
      <c r="E119" s="1" t="s">
        <v>32</v>
      </c>
      <c r="F119" s="1" t="s">
        <v>33</v>
      </c>
      <c r="G119" s="2" t="s">
        <v>29</v>
      </c>
      <c r="H119" s="4" t="str">
        <f>HYPERLINK("http://nimonikapp.com/legislations/100","http://nimonikapp.com/legislations/100")</f>
        <v>http://nimonikapp.com/legislations/100</v>
      </c>
      <c r="I119" s="1" t="s">
        <v>18</v>
      </c>
      <c r="J119" s="1" t="s">
        <v>454</v>
      </c>
      <c r="K119" s="1" t="s">
        <v>455</v>
      </c>
      <c r="L119" s="5">
        <v>44714.0</v>
      </c>
      <c r="M119" s="5">
        <v>44805.0</v>
      </c>
      <c r="N119" s="5">
        <v>44715.0</v>
      </c>
    </row>
    <row r="120">
      <c r="A120" s="1" t="s">
        <v>24</v>
      </c>
      <c r="B120" s="1" t="s">
        <v>25</v>
      </c>
      <c r="C120" s="1" t="s">
        <v>26</v>
      </c>
      <c r="D120" s="1" t="str">
        <f>Vlookup(F120,'Oil &amp; Gas Documents - Canada'!F:N,9,FALSE)</f>
        <v>#N/A</v>
      </c>
      <c r="E120" s="1" t="s">
        <v>36</v>
      </c>
      <c r="F120" s="1" t="s">
        <v>37</v>
      </c>
      <c r="G120" s="2" t="s">
        <v>29</v>
      </c>
      <c r="H120" s="4" t="str">
        <f>HYPERLINK("http://nimonikapp.com/legislations/6763","http://nimonikapp.com/legislations/6763")</f>
        <v>http://nimonikapp.com/legislations/6763</v>
      </c>
      <c r="I120" s="1" t="s">
        <v>18</v>
      </c>
      <c r="J120" s="1" t="s">
        <v>456</v>
      </c>
      <c r="K120" s="1" t="s">
        <v>457</v>
      </c>
      <c r="L120" s="5">
        <v>44714.0</v>
      </c>
      <c r="M120" s="5">
        <v>44714.0</v>
      </c>
      <c r="N120" s="5">
        <v>44715.0</v>
      </c>
    </row>
    <row r="121">
      <c r="A121" s="1" t="s">
        <v>21</v>
      </c>
      <c r="B121" s="1" t="s">
        <v>25</v>
      </c>
      <c r="C121" s="1" t="str">
        <f>Vlookup(F121,'Oil &amp; Gas Documents - Canada'!F:M,2,FALSE)</f>
        <v>oil_and_gas, mining_and_minerals_industry</v>
      </c>
      <c r="D121" s="1" t="str">
        <f>Vlookup(F121,'Oil &amp; Gas Documents - Canada'!F:N,9,FALSE)</f>
        <v/>
      </c>
      <c r="E121" s="1" t="s">
        <v>458</v>
      </c>
      <c r="F121" s="1" t="s">
        <v>459</v>
      </c>
      <c r="G121" s="3"/>
      <c r="H121" s="4" t="str">
        <f>HYPERLINK("http://nimonikapp.com/legislations/10674","http://nimonikapp.com/legislations/10674")</f>
        <v>http://nimonikapp.com/legislations/10674</v>
      </c>
      <c r="I121" s="1" t="s">
        <v>18</v>
      </c>
      <c r="J121" s="1" t="s">
        <v>460</v>
      </c>
      <c r="K121" s="1" t="s">
        <v>461</v>
      </c>
      <c r="L121" s="5">
        <v>44700.0</v>
      </c>
      <c r="M121" s="5">
        <v>44700.0</v>
      </c>
      <c r="N121" s="5">
        <v>44714.0</v>
      </c>
    </row>
    <row r="122">
      <c r="A122" s="1" t="s">
        <v>21</v>
      </c>
      <c r="B122" s="1" t="s">
        <v>364</v>
      </c>
      <c r="C122" s="1" t="s">
        <v>26</v>
      </c>
      <c r="D122" s="1" t="str">
        <f>Vlookup(F122,'Oil &amp; Gas Documents - Canada'!F:N,9,FALSE)</f>
        <v>#N/A</v>
      </c>
      <c r="E122" s="1" t="s">
        <v>462</v>
      </c>
      <c r="F122" s="1" t="s">
        <v>463</v>
      </c>
      <c r="G122" s="2" t="s">
        <v>464</v>
      </c>
      <c r="H122" s="4" t="str">
        <f>HYPERLINK("http://nimonikapp.com/legislations/12266","http://nimonikapp.com/legislations/12266")</f>
        <v>http://nimonikapp.com/legislations/12266</v>
      </c>
      <c r="I122" s="1" t="s">
        <v>356</v>
      </c>
      <c r="J122" s="1" t="s">
        <v>465</v>
      </c>
      <c r="K122" s="1" t="s">
        <v>466</v>
      </c>
      <c r="L122" s="5">
        <v>44642.0</v>
      </c>
      <c r="N122" s="5">
        <v>44713.0</v>
      </c>
    </row>
    <row r="123">
      <c r="A123" s="1" t="s">
        <v>21</v>
      </c>
      <c r="B123" s="1" t="s">
        <v>25</v>
      </c>
      <c r="C123" s="1" t="s">
        <v>26</v>
      </c>
      <c r="D123" s="1" t="str">
        <f>Vlookup(F123,'Oil &amp; Gas Documents - Canada'!F:N,9,FALSE)</f>
        <v>#N/A</v>
      </c>
      <c r="E123" s="1" t="s">
        <v>467</v>
      </c>
      <c r="F123" s="1" t="s">
        <v>468</v>
      </c>
      <c r="G123" s="2" t="s">
        <v>469</v>
      </c>
      <c r="H123" s="4" t="str">
        <f>HYPERLINK("http://nimonikapp.com/legislations/6226","http://nimonikapp.com/legislations/6226")</f>
        <v>http://nimonikapp.com/legislations/6226</v>
      </c>
      <c r="I123" s="1" t="s">
        <v>18</v>
      </c>
      <c r="J123" s="1" t="s">
        <v>470</v>
      </c>
      <c r="K123" s="1" t="s">
        <v>471</v>
      </c>
      <c r="L123" s="5">
        <v>44712.0</v>
      </c>
      <c r="M123" s="5">
        <v>44805.0</v>
      </c>
      <c r="N123" s="5">
        <v>44713.0</v>
      </c>
    </row>
    <row r="124">
      <c r="A124" s="1" t="s">
        <v>21</v>
      </c>
      <c r="B124" s="1" t="s">
        <v>25</v>
      </c>
      <c r="C124" s="1" t="str">
        <f>Vlookup(F124,'Oil &amp; Gas Documents - Canada'!F:M,2,FALSE)</f>
        <v>general, oil_and_gas, mining_and_minerals_industry</v>
      </c>
      <c r="D124" s="1" t="str">
        <f>Vlookup(F124,'Oil &amp; Gas Documents - Canada'!F:N,9,FALSE)</f>
        <v/>
      </c>
      <c r="E124" s="1" t="s">
        <v>111</v>
      </c>
      <c r="F124" s="1" t="s">
        <v>112</v>
      </c>
      <c r="G124" s="3"/>
      <c r="H124" s="4" t="str">
        <f>HYPERLINK("http://nimonikapp.com/legislations/3994","http://nimonikapp.com/legislations/3994")</f>
        <v>http://nimonikapp.com/legislations/3994</v>
      </c>
      <c r="I124" s="1" t="s">
        <v>18</v>
      </c>
      <c r="J124" s="1" t="s">
        <v>472</v>
      </c>
      <c r="K124" s="1" t="s">
        <v>473</v>
      </c>
      <c r="L124" s="5">
        <v>44712.0</v>
      </c>
      <c r="M124" s="5">
        <v>44685.0</v>
      </c>
      <c r="N124" s="5">
        <v>44713.0</v>
      </c>
    </row>
    <row r="125">
      <c r="A125" s="1" t="s">
        <v>21</v>
      </c>
      <c r="B125" s="1" t="s">
        <v>25</v>
      </c>
      <c r="C125" s="1" t="str">
        <f>Vlookup(F125,'Oil &amp; Gas Documents - Canada'!F:M,2,FALSE)</f>
        <v>oil_and_gas</v>
      </c>
      <c r="D125" s="1" t="str">
        <f>Vlookup(F125,'Oil &amp; Gas Documents - Canada'!F:N,9,FALSE)</f>
        <v/>
      </c>
      <c r="E125" s="1" t="s">
        <v>307</v>
      </c>
      <c r="F125" s="1" t="s">
        <v>308</v>
      </c>
      <c r="G125" s="2" t="s">
        <v>309</v>
      </c>
      <c r="H125" s="4" t="str">
        <f>HYPERLINK("http://nimonikapp.com/legislations/4045","http://nimonikapp.com/legislations/4045")</f>
        <v>http://nimonikapp.com/legislations/4045</v>
      </c>
      <c r="I125" s="1" t="s">
        <v>18</v>
      </c>
      <c r="J125" s="1" t="s">
        <v>474</v>
      </c>
      <c r="K125" s="1" t="s">
        <v>475</v>
      </c>
      <c r="L125" s="5">
        <v>44713.0</v>
      </c>
      <c r="M125" s="5">
        <v>44713.0</v>
      </c>
      <c r="N125" s="5">
        <v>44713.0</v>
      </c>
    </row>
    <row r="126">
      <c r="A126" s="1" t="s">
        <v>14</v>
      </c>
      <c r="B126" s="1" t="s">
        <v>25</v>
      </c>
      <c r="C126" s="1" t="s">
        <v>26</v>
      </c>
      <c r="D126" s="1" t="str">
        <f>Vlookup(F126,'Oil &amp; Gas Documents - Canada'!F:N,9,FALSE)</f>
        <v>#N/A</v>
      </c>
      <c r="E126" s="1" t="s">
        <v>476</v>
      </c>
      <c r="F126" s="1" t="s">
        <v>477</v>
      </c>
      <c r="G126" s="2" t="s">
        <v>478</v>
      </c>
      <c r="H126" s="4" t="str">
        <f>HYPERLINK("http://nimonikapp.com/legislations/123010","http://nimonikapp.com/legislations/123010")</f>
        <v>http://nimonikapp.com/legislations/123010</v>
      </c>
      <c r="I126" s="1" t="s">
        <v>18</v>
      </c>
      <c r="J126" s="1" t="s">
        <v>479</v>
      </c>
      <c r="K126" s="1" t="s">
        <v>480</v>
      </c>
      <c r="L126" s="5">
        <v>44701.0</v>
      </c>
      <c r="M126" s="5">
        <v>44692.0</v>
      </c>
      <c r="N126" s="5">
        <v>44711.0</v>
      </c>
    </row>
    <row r="127">
      <c r="A127" s="1" t="s">
        <v>202</v>
      </c>
      <c r="B127" s="1" t="s">
        <v>25</v>
      </c>
      <c r="C127" s="1" t="str">
        <f>Vlookup(F127,'Oil &amp; Gas Documents - Canada'!F:M,2,FALSE)</f>
        <v>oil_and_gas</v>
      </c>
      <c r="D127" s="1" t="str">
        <f>Vlookup(F127,'Oil &amp; Gas Documents - Canada'!F:N,9,FALSE)</f>
        <v/>
      </c>
      <c r="E127" s="1" t="s">
        <v>481</v>
      </c>
      <c r="F127" s="1" t="s">
        <v>482</v>
      </c>
      <c r="G127" s="2" t="s">
        <v>483</v>
      </c>
      <c r="H127" s="4" t="str">
        <f>HYPERLINK("http://nimonikapp.com/legislations/100785","http://nimonikapp.com/legislations/100785")</f>
        <v>http://nimonikapp.com/legislations/100785</v>
      </c>
      <c r="I127" s="1" t="s">
        <v>18</v>
      </c>
      <c r="J127" s="1" t="s">
        <v>484</v>
      </c>
      <c r="K127" s="1" t="s">
        <v>485</v>
      </c>
      <c r="L127" s="5">
        <v>44663.0</v>
      </c>
      <c r="M127" s="5">
        <v>44693.0</v>
      </c>
      <c r="N127" s="5">
        <v>44706.0</v>
      </c>
    </row>
    <row r="128">
      <c r="A128" s="1" t="s">
        <v>202</v>
      </c>
      <c r="B128" s="1" t="s">
        <v>25</v>
      </c>
      <c r="C128" s="1" t="s">
        <v>26</v>
      </c>
      <c r="D128" s="1" t="str">
        <f>Vlookup(F128,'Oil &amp; Gas Documents - Canada'!F:N,9,FALSE)</f>
        <v>#N/A</v>
      </c>
      <c r="E128" s="1" t="s">
        <v>375</v>
      </c>
      <c r="F128" s="1" t="s">
        <v>376</v>
      </c>
      <c r="G128" s="2" t="s">
        <v>377</v>
      </c>
      <c r="H128" s="4" t="str">
        <f>HYPERLINK("http://nimonikapp.com/legislations/35","http://nimonikapp.com/legislations/35")</f>
        <v>http://nimonikapp.com/legislations/35</v>
      </c>
      <c r="I128" s="1" t="s">
        <v>18</v>
      </c>
      <c r="J128" s="1" t="s">
        <v>484</v>
      </c>
      <c r="K128" s="1" t="s">
        <v>485</v>
      </c>
      <c r="L128" s="5">
        <v>44663.0</v>
      </c>
      <c r="M128" s="5">
        <v>44693.0</v>
      </c>
      <c r="N128" s="5">
        <v>44706.0</v>
      </c>
    </row>
    <row r="129">
      <c r="A129" s="1" t="s">
        <v>486</v>
      </c>
      <c r="B129" s="1" t="s">
        <v>25</v>
      </c>
      <c r="C129" s="1" t="str">
        <f>Vlookup(F129,'Oil &amp; Gas Documents - Canada'!F:M,2,FALSE)</f>
        <v>oil_and_gas, mining_and_minerals_industry</v>
      </c>
      <c r="D129" s="1" t="str">
        <f>Vlookup(F129,'Oil &amp; Gas Documents - Canada'!F:N,9,FALSE)</f>
        <v/>
      </c>
      <c r="E129" s="1" t="s">
        <v>487</v>
      </c>
      <c r="F129" s="1" t="s">
        <v>488</v>
      </c>
      <c r="G129" s="3"/>
      <c r="H129" s="4" t="str">
        <f>HYPERLINK("http://nimonikapp.com/legislations/310353","http://nimonikapp.com/legislations/310353")</f>
        <v>http://nimonikapp.com/legislations/310353</v>
      </c>
      <c r="I129" s="1" t="s">
        <v>18</v>
      </c>
      <c r="J129" s="1" t="s">
        <v>489</v>
      </c>
      <c r="K129" s="1" t="s">
        <v>490</v>
      </c>
      <c r="L129" s="5">
        <v>44687.0</v>
      </c>
      <c r="M129" s="5">
        <v>44687.0</v>
      </c>
      <c r="N129" s="5">
        <v>44705.0</v>
      </c>
    </row>
    <row r="130">
      <c r="A130" s="1" t="s">
        <v>70</v>
      </c>
      <c r="B130" s="1" t="s">
        <v>15</v>
      </c>
      <c r="C130" s="1" t="s">
        <v>26</v>
      </c>
      <c r="D130" s="1" t="str">
        <f>Vlookup(F130,'Oil &amp; Gas Documents - Canada'!F:N,9,FALSE)</f>
        <v>#N/A</v>
      </c>
      <c r="E130" s="1" t="s">
        <v>491</v>
      </c>
      <c r="F130" s="1" t="s">
        <v>492</v>
      </c>
      <c r="G130" s="2" t="s">
        <v>493</v>
      </c>
      <c r="H130" s="4" t="str">
        <f>HYPERLINK("http://nimonikapp.com/legislations/158260","http://nimonikapp.com/legislations/158260")</f>
        <v>http://nimonikapp.com/legislations/158260</v>
      </c>
      <c r="I130" s="1" t="s">
        <v>18</v>
      </c>
      <c r="J130" s="1" t="s">
        <v>494</v>
      </c>
      <c r="K130" s="1" t="s">
        <v>495</v>
      </c>
      <c r="L130" s="5">
        <v>44470.0</v>
      </c>
      <c r="M130" s="5">
        <v>44490.0</v>
      </c>
      <c r="N130" s="5">
        <v>44699.0</v>
      </c>
    </row>
    <row r="131">
      <c r="A131" s="1" t="s">
        <v>202</v>
      </c>
      <c r="B131" s="1" t="s">
        <v>15</v>
      </c>
      <c r="C131" s="1" t="str">
        <f>Vlookup(F131,'Oil &amp; Gas Documents - Canada'!F:M,2,FALSE)</f>
        <v>oil_and_gas</v>
      </c>
      <c r="D131" s="1" t="str">
        <f>Vlookup(F131,'Oil &amp; Gas Documents - Canada'!F:N,9,FALSE)</f>
        <v/>
      </c>
      <c r="E131" s="1" t="s">
        <v>496</v>
      </c>
      <c r="F131" s="1" t="s">
        <v>497</v>
      </c>
      <c r="G131" s="3"/>
      <c r="H131" s="4" t="str">
        <f>HYPERLINK("http://nimonikapp.com/legislations/349345","http://nimonikapp.com/legislations/349345")</f>
        <v>http://nimonikapp.com/legislations/349345</v>
      </c>
      <c r="I131" s="1" t="s">
        <v>18</v>
      </c>
      <c r="L131" s="5">
        <v>44664.0</v>
      </c>
      <c r="M131" s="5">
        <v>44664.0</v>
      </c>
      <c r="N131" s="5">
        <v>44698.0</v>
      </c>
    </row>
    <row r="132">
      <c r="A132" s="1" t="s">
        <v>202</v>
      </c>
      <c r="B132" s="1" t="s">
        <v>25</v>
      </c>
      <c r="C132" s="1" t="s">
        <v>26</v>
      </c>
      <c r="D132" s="1" t="str">
        <f>Vlookup(F132,'Oil &amp; Gas Documents - Canada'!F:N,9,FALSE)</f>
        <v>#N/A</v>
      </c>
      <c r="E132" s="1" t="s">
        <v>498</v>
      </c>
      <c r="F132" s="1" t="s">
        <v>499</v>
      </c>
      <c r="G132" s="2" t="s">
        <v>500</v>
      </c>
      <c r="H132" s="4" t="str">
        <f>HYPERLINK("http://nimonikapp.com/legislations/4229","http://nimonikapp.com/legislations/4229")</f>
        <v>http://nimonikapp.com/legislations/4229</v>
      </c>
      <c r="I132" s="1" t="s">
        <v>18</v>
      </c>
      <c r="J132" s="1" t="s">
        <v>501</v>
      </c>
      <c r="K132" s="1" t="s">
        <v>502</v>
      </c>
      <c r="L132" s="5">
        <v>44664.0</v>
      </c>
      <c r="M132" s="5">
        <v>44664.0</v>
      </c>
      <c r="N132" s="5">
        <v>44698.0</v>
      </c>
    </row>
    <row r="133">
      <c r="A133" s="1" t="s">
        <v>202</v>
      </c>
      <c r="B133" s="1" t="s">
        <v>25</v>
      </c>
      <c r="C133" s="1" t="str">
        <f>Vlookup(F133,'Oil &amp; Gas Documents - Canada'!F:M,2,FALSE)</f>
        <v>oil_and_gas</v>
      </c>
      <c r="D133" s="1" t="str">
        <f>Vlookup(F133,'Oil &amp; Gas Documents - Canada'!F:N,9,FALSE)</f>
        <v/>
      </c>
      <c r="E133" s="1" t="s">
        <v>481</v>
      </c>
      <c r="F133" s="1" t="s">
        <v>482</v>
      </c>
      <c r="G133" s="2" t="s">
        <v>483</v>
      </c>
      <c r="H133" s="4" t="str">
        <f>HYPERLINK("http://nimonikapp.com/legislations/100785","http://nimonikapp.com/legislations/100785")</f>
        <v>http://nimonikapp.com/legislations/100785</v>
      </c>
      <c r="I133" s="1" t="s">
        <v>18</v>
      </c>
      <c r="J133" s="1" t="s">
        <v>501</v>
      </c>
      <c r="K133" s="1" t="s">
        <v>502</v>
      </c>
      <c r="L133" s="5">
        <v>44664.0</v>
      </c>
      <c r="M133" s="5">
        <v>44664.0</v>
      </c>
      <c r="N133" s="5">
        <v>44698.0</v>
      </c>
    </row>
    <row r="134">
      <c r="A134" s="1" t="s">
        <v>202</v>
      </c>
      <c r="B134" s="1" t="s">
        <v>25</v>
      </c>
      <c r="C134" s="1" t="s">
        <v>26</v>
      </c>
      <c r="D134" s="1" t="str">
        <f>Vlookup(F134,'Oil &amp; Gas Documents - Canada'!F:N,9,FALSE)</f>
        <v>#N/A</v>
      </c>
      <c r="E134" s="1" t="s">
        <v>328</v>
      </c>
      <c r="F134" s="1" t="s">
        <v>329</v>
      </c>
      <c r="G134" s="2" t="s">
        <v>330</v>
      </c>
      <c r="H134" s="4" t="str">
        <f>HYPERLINK("http://nimonikapp.com/legislations/96706","http://nimonikapp.com/legislations/96706")</f>
        <v>http://nimonikapp.com/legislations/96706</v>
      </c>
      <c r="I134" s="1" t="s">
        <v>18</v>
      </c>
      <c r="J134" s="1" t="s">
        <v>501</v>
      </c>
      <c r="K134" s="1" t="s">
        <v>502</v>
      </c>
      <c r="L134" s="5">
        <v>44664.0</v>
      </c>
      <c r="M134" s="5">
        <v>44664.0</v>
      </c>
      <c r="N134" s="5">
        <v>44698.0</v>
      </c>
    </row>
    <row r="135">
      <c r="A135" s="1" t="s">
        <v>202</v>
      </c>
      <c r="B135" s="1" t="s">
        <v>25</v>
      </c>
      <c r="C135" s="1" t="s">
        <v>26</v>
      </c>
      <c r="D135" s="1" t="str">
        <f>Vlookup(F135,'Oil &amp; Gas Documents - Canada'!F:N,9,FALSE)</f>
        <v>#N/A</v>
      </c>
      <c r="E135" s="1" t="s">
        <v>372</v>
      </c>
      <c r="F135" s="1" t="s">
        <v>373</v>
      </c>
      <c r="G135" s="2" t="s">
        <v>374</v>
      </c>
      <c r="H135" s="4" t="str">
        <f>HYPERLINK("http://nimonikapp.com/legislations/1304","http://nimonikapp.com/legislations/1304")</f>
        <v>http://nimonikapp.com/legislations/1304</v>
      </c>
      <c r="I135" s="1" t="s">
        <v>18</v>
      </c>
      <c r="J135" s="1" t="s">
        <v>501</v>
      </c>
      <c r="K135" s="1" t="s">
        <v>502</v>
      </c>
      <c r="L135" s="5">
        <v>44664.0</v>
      </c>
      <c r="M135" s="5">
        <v>44664.0</v>
      </c>
      <c r="N135" s="5">
        <v>44698.0</v>
      </c>
    </row>
    <row r="136">
      <c r="A136" s="1" t="s">
        <v>202</v>
      </c>
      <c r="B136" s="1" t="s">
        <v>25</v>
      </c>
      <c r="C136" s="1" t="s">
        <v>26</v>
      </c>
      <c r="D136" s="1" t="str">
        <f>Vlookup(F136,'Oil &amp; Gas Documents - Canada'!F:N,9,FALSE)</f>
        <v>#N/A</v>
      </c>
      <c r="E136" s="1" t="s">
        <v>503</v>
      </c>
      <c r="F136" s="1" t="s">
        <v>504</v>
      </c>
      <c r="G136" s="2" t="s">
        <v>505</v>
      </c>
      <c r="H136" s="4" t="str">
        <f>HYPERLINK("http://nimonikapp.com/legislations/47","http://nimonikapp.com/legislations/47")</f>
        <v>http://nimonikapp.com/legislations/47</v>
      </c>
      <c r="I136" s="1" t="s">
        <v>18</v>
      </c>
      <c r="J136" s="1" t="s">
        <v>501</v>
      </c>
      <c r="K136" s="1" t="s">
        <v>502</v>
      </c>
      <c r="L136" s="5">
        <v>44664.0</v>
      </c>
      <c r="M136" s="5">
        <v>44664.0</v>
      </c>
      <c r="N136" s="5">
        <v>44698.0</v>
      </c>
    </row>
    <row r="137">
      <c r="A137" s="1" t="s">
        <v>202</v>
      </c>
      <c r="B137" s="1" t="s">
        <v>25</v>
      </c>
      <c r="C137" s="1" t="s">
        <v>26</v>
      </c>
      <c r="D137" s="1" t="str">
        <f>Vlookup(F137,'Oil &amp; Gas Documents - Canada'!F:N,9,FALSE)</f>
        <v>#N/A</v>
      </c>
      <c r="E137" s="1" t="s">
        <v>345</v>
      </c>
      <c r="F137" s="1" t="s">
        <v>346</v>
      </c>
      <c r="G137" s="2" t="s">
        <v>347</v>
      </c>
      <c r="H137" s="4" t="str">
        <f>HYPERLINK("http://nimonikapp.com/legislations/115","http://nimonikapp.com/legislations/115")</f>
        <v>http://nimonikapp.com/legislations/115</v>
      </c>
      <c r="I137" s="1" t="s">
        <v>18</v>
      </c>
      <c r="J137" s="1" t="s">
        <v>501</v>
      </c>
      <c r="K137" s="1" t="s">
        <v>502</v>
      </c>
      <c r="L137" s="5">
        <v>44664.0</v>
      </c>
      <c r="M137" s="5">
        <v>44664.0</v>
      </c>
      <c r="N137" s="5">
        <v>44698.0</v>
      </c>
    </row>
    <row r="138">
      <c r="A138" s="1" t="s">
        <v>202</v>
      </c>
      <c r="B138" s="1" t="s">
        <v>25</v>
      </c>
      <c r="C138" s="1" t="s">
        <v>26</v>
      </c>
      <c r="D138" s="1" t="str">
        <f>Vlookup(F138,'Oil &amp; Gas Documents - Canada'!F:N,9,FALSE)</f>
        <v>#N/A</v>
      </c>
      <c r="E138" s="1" t="s">
        <v>375</v>
      </c>
      <c r="F138" s="1" t="s">
        <v>376</v>
      </c>
      <c r="G138" s="2" t="s">
        <v>377</v>
      </c>
      <c r="H138" s="4" t="str">
        <f>HYPERLINK("http://nimonikapp.com/legislations/35","http://nimonikapp.com/legislations/35")</f>
        <v>http://nimonikapp.com/legislations/35</v>
      </c>
      <c r="I138" s="1" t="s">
        <v>18</v>
      </c>
      <c r="J138" s="1" t="s">
        <v>501</v>
      </c>
      <c r="K138" s="1" t="s">
        <v>502</v>
      </c>
      <c r="L138" s="5">
        <v>44664.0</v>
      </c>
      <c r="M138" s="5">
        <v>44664.0</v>
      </c>
      <c r="N138" s="5">
        <v>44698.0</v>
      </c>
    </row>
    <row r="139">
      <c r="A139" s="1" t="s">
        <v>21</v>
      </c>
      <c r="B139" s="1" t="s">
        <v>25</v>
      </c>
      <c r="C139" s="1" t="str">
        <f>Vlookup(F139,'Oil &amp; Gas Documents - Canada'!F:M,2,FALSE)</f>
        <v>oil_and_gas</v>
      </c>
      <c r="D139" s="1" t="str">
        <f>Vlookup(F139,'Oil &amp; Gas Documents - Canada'!F:N,9,FALSE)</f>
        <v/>
      </c>
      <c r="E139" s="1" t="s">
        <v>506</v>
      </c>
      <c r="F139" s="1" t="s">
        <v>507</v>
      </c>
      <c r="G139" s="2" t="s">
        <v>508</v>
      </c>
      <c r="H139" s="4" t="str">
        <f>HYPERLINK("http://nimonikapp.com/legislations/91184","http://nimonikapp.com/legislations/91184")</f>
        <v>http://nimonikapp.com/legislations/91184</v>
      </c>
      <c r="I139" s="1" t="s">
        <v>18</v>
      </c>
      <c r="J139" s="1" t="s">
        <v>509</v>
      </c>
      <c r="K139" s="1" t="s">
        <v>510</v>
      </c>
      <c r="L139" s="5">
        <v>44691.0</v>
      </c>
      <c r="M139" s="5">
        <v>44691.0</v>
      </c>
      <c r="N139" s="5">
        <v>44697.0</v>
      </c>
    </row>
    <row r="140">
      <c r="A140" s="1" t="s">
        <v>73</v>
      </c>
      <c r="B140" s="1" t="s">
        <v>364</v>
      </c>
      <c r="C140" s="1" t="s">
        <v>26</v>
      </c>
      <c r="D140" s="1" t="str">
        <f>Vlookup(F140,'Oil &amp; Gas Documents - Canada'!F:N,9,FALSE)</f>
        <v>#N/A</v>
      </c>
      <c r="E140" s="1" t="s">
        <v>511</v>
      </c>
      <c r="F140" s="1" t="s">
        <v>512</v>
      </c>
      <c r="G140" s="3"/>
      <c r="H140" s="4" t="str">
        <f>HYPERLINK("http://nimonikapp.com/legislations/293215","http://nimonikapp.com/legislations/293215")</f>
        <v>http://nimonikapp.com/legislations/293215</v>
      </c>
      <c r="I140" s="1" t="s">
        <v>356</v>
      </c>
      <c r="J140" s="1" t="s">
        <v>513</v>
      </c>
      <c r="K140" s="1" t="s">
        <v>511</v>
      </c>
      <c r="L140" s="5">
        <v>44695.0</v>
      </c>
      <c r="M140" s="5">
        <v>44670.0</v>
      </c>
      <c r="N140" s="5">
        <v>44697.0</v>
      </c>
    </row>
    <row r="141">
      <c r="A141" s="1" t="s">
        <v>24</v>
      </c>
      <c r="B141" s="1" t="s">
        <v>15</v>
      </c>
      <c r="C141" s="1" t="str">
        <f>Vlookup(F141,'Oil &amp; Gas Documents - Canada'!F:M,2,FALSE)</f>
        <v>oil_and_gas</v>
      </c>
      <c r="D141" s="1" t="str">
        <f>Vlookup(F141,'Oil &amp; Gas Documents - Canada'!F:N,9,FALSE)</f>
        <v/>
      </c>
      <c r="E141" s="1" t="s">
        <v>514</v>
      </c>
      <c r="F141" s="1" t="s">
        <v>515</v>
      </c>
      <c r="G141" s="3"/>
      <c r="H141" s="4" t="str">
        <f>HYPERLINK("http://nimonikapp.com/legislations/349252","http://nimonikapp.com/legislations/349252")</f>
        <v>http://nimonikapp.com/legislations/349252</v>
      </c>
      <c r="I141" s="1" t="s">
        <v>516</v>
      </c>
      <c r="L141" s="5">
        <v>44691.0</v>
      </c>
      <c r="N141" s="5">
        <v>44694.0</v>
      </c>
    </row>
    <row r="142">
      <c r="A142" s="1" t="s">
        <v>202</v>
      </c>
      <c r="B142" s="1" t="s">
        <v>15</v>
      </c>
      <c r="C142" s="1" t="s">
        <v>26</v>
      </c>
      <c r="D142" s="1" t="str">
        <f>Vlookup(F142,'Oil &amp; Gas Documents - Canada'!F:N,9,FALSE)</f>
        <v>#N/A</v>
      </c>
      <c r="E142" s="1" t="s">
        <v>517</v>
      </c>
      <c r="F142" s="1" t="s">
        <v>518</v>
      </c>
      <c r="G142" s="3"/>
      <c r="H142" s="4" t="str">
        <f>HYPERLINK("http://nimonikapp.com/legislations/349032","http://nimonikapp.com/legislations/349032")</f>
        <v>http://nimonikapp.com/legislations/349032</v>
      </c>
      <c r="I142" s="1" t="s">
        <v>516</v>
      </c>
      <c r="L142" s="5">
        <v>44692.0</v>
      </c>
      <c r="N142" s="5">
        <v>44693.0</v>
      </c>
    </row>
    <row r="143">
      <c r="A143" s="1" t="s">
        <v>73</v>
      </c>
      <c r="B143" s="1" t="s">
        <v>25</v>
      </c>
      <c r="C143" s="1" t="str">
        <f>Vlookup(F143,'Oil &amp; Gas Documents - Canada'!F:M,2,FALSE)</f>
        <v>oil_and_gas</v>
      </c>
      <c r="D143" s="1" t="str">
        <f>Vlookup(F143,'Oil &amp; Gas Documents - Canada'!F:N,9,FALSE)</f>
        <v/>
      </c>
      <c r="E143" s="1" t="s">
        <v>519</v>
      </c>
      <c r="F143" s="1" t="s">
        <v>520</v>
      </c>
      <c r="G143" s="2" t="s">
        <v>521</v>
      </c>
      <c r="H143" s="4" t="str">
        <f>HYPERLINK("http://nimonikapp.com/legislations/4846","http://nimonikapp.com/legislations/4846")</f>
        <v>http://nimonikapp.com/legislations/4846</v>
      </c>
      <c r="I143" s="1" t="s">
        <v>18</v>
      </c>
      <c r="J143" s="1" t="s">
        <v>522</v>
      </c>
      <c r="K143" s="1" t="s">
        <v>523</v>
      </c>
      <c r="L143" s="5">
        <v>44692.0</v>
      </c>
      <c r="M143" s="5">
        <v>44683.0</v>
      </c>
      <c r="N143" s="5">
        <v>44692.0</v>
      </c>
    </row>
    <row r="144">
      <c r="A144" s="1" t="s">
        <v>53</v>
      </c>
      <c r="B144" s="1" t="s">
        <v>15</v>
      </c>
      <c r="C144" s="1" t="str">
        <f>Vlookup(F144,'Oil &amp; Gas Documents - Canada'!F:M,2,FALSE)</f>
        <v>oil_and_gas</v>
      </c>
      <c r="D144" s="1" t="str">
        <f>Vlookup(F144,'Oil &amp; Gas Documents - Canada'!F:N,9,FALSE)</f>
        <v/>
      </c>
      <c r="E144" s="1" t="s">
        <v>524</v>
      </c>
      <c r="F144" s="1" t="s">
        <v>525</v>
      </c>
      <c r="G144" s="3"/>
      <c r="H144" s="4" t="str">
        <f>HYPERLINK("http://nimonikapp.com/legislations/348360","http://nimonikapp.com/legislations/348360")</f>
        <v>http://nimonikapp.com/legislations/348360</v>
      </c>
      <c r="I144" s="1" t="s">
        <v>52</v>
      </c>
      <c r="L144" s="5">
        <v>44687.0</v>
      </c>
      <c r="M144" s="5">
        <v>44927.0</v>
      </c>
      <c r="N144" s="5">
        <v>44691.0</v>
      </c>
    </row>
    <row r="145">
      <c r="A145" s="1" t="s">
        <v>202</v>
      </c>
      <c r="B145" s="1" t="s">
        <v>15</v>
      </c>
      <c r="C145" s="1" t="s">
        <v>26</v>
      </c>
      <c r="D145" s="1" t="str">
        <f>Vlookup(F145,'Oil &amp; Gas Documents - Canada'!F:N,9,FALSE)</f>
        <v>#N/A</v>
      </c>
      <c r="E145" s="1" t="s">
        <v>526</v>
      </c>
      <c r="F145" s="1" t="s">
        <v>527</v>
      </c>
      <c r="G145" s="3"/>
      <c r="H145" s="4" t="str">
        <f>HYPERLINK("http://nimonikapp.com/legislations/347597","http://nimonikapp.com/legislations/347597")</f>
        <v>http://nimonikapp.com/legislations/347597</v>
      </c>
      <c r="I145" s="1" t="s">
        <v>516</v>
      </c>
      <c r="L145" s="5">
        <v>44685.0</v>
      </c>
      <c r="N145" s="5">
        <v>44685.0</v>
      </c>
    </row>
    <row r="146">
      <c r="A146" s="1" t="s">
        <v>21</v>
      </c>
      <c r="B146" s="1" t="s">
        <v>25</v>
      </c>
      <c r="C146" s="1" t="str">
        <f>Vlookup(F146,'Oil &amp; Gas Documents - Canada'!F:M,2,FALSE)</f>
        <v>oil_and_gas</v>
      </c>
      <c r="D146" s="1" t="str">
        <f>Vlookup(F146,'Oil &amp; Gas Documents - Canada'!F:N,9,FALSE)</f>
        <v/>
      </c>
      <c r="E146" s="1" t="s">
        <v>116</v>
      </c>
      <c r="F146" s="1" t="s">
        <v>117</v>
      </c>
      <c r="G146" s="2" t="s">
        <v>118</v>
      </c>
      <c r="H146" s="4" t="str">
        <f>HYPERLINK("http://nimonikapp.com/legislations/3688","http://nimonikapp.com/legislations/3688")</f>
        <v>http://nimonikapp.com/legislations/3688</v>
      </c>
      <c r="I146" s="1" t="s">
        <v>18</v>
      </c>
      <c r="J146" s="1" t="s">
        <v>528</v>
      </c>
      <c r="K146" s="1" t="s">
        <v>380</v>
      </c>
      <c r="L146" s="5">
        <v>44681.0</v>
      </c>
      <c r="M146" s="5">
        <v>44657.0</v>
      </c>
      <c r="N146" s="5">
        <v>44685.0</v>
      </c>
    </row>
    <row r="147">
      <c r="A147" s="1" t="s">
        <v>21</v>
      </c>
      <c r="B147" s="1" t="s">
        <v>25</v>
      </c>
      <c r="C147" s="1" t="str">
        <f>Vlookup(F147,'Oil &amp; Gas Documents - Canada'!F:M,2,FALSE)</f>
        <v>oil_and_gas</v>
      </c>
      <c r="D147" s="1" t="str">
        <f>Vlookup(F147,'Oil &amp; Gas Documents - Canada'!F:N,9,FALSE)</f>
        <v/>
      </c>
      <c r="E147" s="1" t="s">
        <v>193</v>
      </c>
      <c r="F147" s="1" t="s">
        <v>194</v>
      </c>
      <c r="G147" s="2" t="s">
        <v>195</v>
      </c>
      <c r="H147" s="4" t="str">
        <f>HYPERLINK("http://nimonikapp.com/legislations/4042","http://nimonikapp.com/legislations/4042")</f>
        <v>http://nimonikapp.com/legislations/4042</v>
      </c>
      <c r="I147" s="1" t="s">
        <v>18</v>
      </c>
      <c r="J147" s="1" t="s">
        <v>529</v>
      </c>
      <c r="K147" s="1" t="s">
        <v>530</v>
      </c>
      <c r="L147" s="5">
        <v>44676.0</v>
      </c>
      <c r="M147" s="5">
        <v>44676.0</v>
      </c>
      <c r="N147" s="5">
        <v>44685.0</v>
      </c>
    </row>
    <row r="148">
      <c r="A148" s="1" t="s">
        <v>73</v>
      </c>
      <c r="B148" s="1" t="s">
        <v>15</v>
      </c>
      <c r="C148" s="1" t="str">
        <f>Vlookup(F148,'Oil &amp; Gas Documents - Canada'!F:M,2,FALSE)</f>
        <v>oil_and_gas</v>
      </c>
      <c r="D148" s="1" t="str">
        <f>Vlookup(F148,'Oil &amp; Gas Documents - Canada'!F:N,9,FALSE)</f>
        <v/>
      </c>
      <c r="E148" s="1" t="s">
        <v>524</v>
      </c>
      <c r="F148" s="1" t="s">
        <v>531</v>
      </c>
      <c r="G148" s="3"/>
      <c r="H148" s="4" t="str">
        <f>HYPERLINK("http://nimonikapp.com/legislations/347013","http://nimonikapp.com/legislations/347013")</f>
        <v>http://nimonikapp.com/legislations/347013</v>
      </c>
      <c r="I148" s="1" t="s">
        <v>52</v>
      </c>
      <c r="L148" s="5">
        <v>44678.0</v>
      </c>
      <c r="M148" s="5">
        <v>44927.0</v>
      </c>
      <c r="N148" s="5">
        <v>44679.0</v>
      </c>
    </row>
    <row r="149">
      <c r="A149" s="1" t="s">
        <v>70</v>
      </c>
      <c r="B149" s="1" t="s">
        <v>25</v>
      </c>
      <c r="C149" s="1" t="str">
        <f>Vlookup(F149,'Oil &amp; Gas Documents - Canada'!F:M,2,FALSE)</f>
        <v>oil_and_gas</v>
      </c>
      <c r="D149" s="1" t="str">
        <f>Vlookup(F149,'Oil &amp; Gas Documents - Canada'!F:N,9,FALSE)</f>
        <v/>
      </c>
      <c r="E149" s="1" t="s">
        <v>532</v>
      </c>
      <c r="F149" s="1" t="s">
        <v>533</v>
      </c>
      <c r="G149" s="2" t="s">
        <v>534</v>
      </c>
      <c r="H149" s="4" t="str">
        <f>HYPERLINK("http://nimonikapp.com/legislations/1296","http://nimonikapp.com/legislations/1296")</f>
        <v>http://nimonikapp.com/legislations/1296</v>
      </c>
      <c r="I149" s="1" t="s">
        <v>18</v>
      </c>
      <c r="J149" s="1" t="s">
        <v>535</v>
      </c>
      <c r="K149" s="1" t="s">
        <v>536</v>
      </c>
      <c r="L149" s="5">
        <v>44688.0</v>
      </c>
      <c r="M149" s="5">
        <v>44743.0</v>
      </c>
      <c r="N149" s="5">
        <v>44679.0</v>
      </c>
    </row>
    <row r="150">
      <c r="A150" s="1" t="s">
        <v>70</v>
      </c>
      <c r="B150" s="1" t="s">
        <v>25</v>
      </c>
      <c r="C150" s="1" t="s">
        <v>26</v>
      </c>
      <c r="D150" s="1" t="str">
        <f>Vlookup(F150,'Oil &amp; Gas Documents - Canada'!F:N,9,FALSE)</f>
        <v>#N/A</v>
      </c>
      <c r="E150" s="1" t="s">
        <v>537</v>
      </c>
      <c r="F150" s="1" t="s">
        <v>538</v>
      </c>
      <c r="G150" s="2" t="s">
        <v>539</v>
      </c>
      <c r="H150" s="4" t="str">
        <f>HYPERLINK("http://nimonikapp.com/legislations/141287","http://nimonikapp.com/legislations/141287")</f>
        <v>http://nimonikapp.com/legislations/141287</v>
      </c>
      <c r="I150" s="1" t="s">
        <v>18</v>
      </c>
      <c r="J150" s="1" t="s">
        <v>540</v>
      </c>
      <c r="K150" s="1" t="s">
        <v>541</v>
      </c>
      <c r="L150" s="5">
        <v>44688.0</v>
      </c>
      <c r="M150" s="5">
        <v>44671.0</v>
      </c>
      <c r="N150" s="5">
        <v>44679.0</v>
      </c>
    </row>
    <row r="151">
      <c r="A151" s="1" t="s">
        <v>70</v>
      </c>
      <c r="B151" s="1" t="s">
        <v>25</v>
      </c>
      <c r="C151" s="1" t="s">
        <v>26</v>
      </c>
      <c r="D151" s="1" t="str">
        <f>Vlookup(F151,'Oil &amp; Gas Documents - Canada'!F:N,9,FALSE)</f>
        <v>#N/A</v>
      </c>
      <c r="E151" s="1" t="s">
        <v>542</v>
      </c>
      <c r="F151" s="1" t="s">
        <v>543</v>
      </c>
      <c r="G151" s="2" t="s">
        <v>544</v>
      </c>
      <c r="H151" s="4" t="str">
        <f>HYPERLINK("http://nimonikapp.com/legislations/1045","http://nimonikapp.com/legislations/1045")</f>
        <v>http://nimonikapp.com/legislations/1045</v>
      </c>
      <c r="I151" s="1" t="s">
        <v>18</v>
      </c>
      <c r="J151" s="1" t="s">
        <v>545</v>
      </c>
      <c r="K151" s="1" t="s">
        <v>546</v>
      </c>
      <c r="L151" s="5">
        <v>44688.0</v>
      </c>
      <c r="M151" s="5">
        <v>44671.0</v>
      </c>
      <c r="N151" s="5">
        <v>44679.0</v>
      </c>
    </row>
    <row r="152">
      <c r="A152" s="1" t="s">
        <v>202</v>
      </c>
      <c r="B152" s="1" t="s">
        <v>25</v>
      </c>
      <c r="C152" s="1" t="str">
        <f>Vlookup(F152,'Oil &amp; Gas Documents - Canada'!F:M,2,FALSE)</f>
        <v>oil_and_gas, mining_and_minerals_industry, healthcare_industry</v>
      </c>
      <c r="D152" s="1" t="str">
        <f>Vlookup(F152,'Oil &amp; Gas Documents - Canada'!F:N,9,FALSE)</f>
        <v/>
      </c>
      <c r="E152" s="1" t="s">
        <v>547</v>
      </c>
      <c r="F152" s="1" t="s">
        <v>548</v>
      </c>
      <c r="G152" s="2" t="s">
        <v>549</v>
      </c>
      <c r="H152" s="4" t="str">
        <f>HYPERLINK("http://nimonikapp.com/legislations/1069","http://nimonikapp.com/legislations/1069")</f>
        <v>http://nimonikapp.com/legislations/1069</v>
      </c>
      <c r="I152" s="1" t="s">
        <v>18</v>
      </c>
      <c r="J152" s="1" t="s">
        <v>550</v>
      </c>
      <c r="K152" s="1" t="s">
        <v>551</v>
      </c>
      <c r="L152" s="5">
        <v>44678.0</v>
      </c>
      <c r="M152" s="5">
        <v>44693.0</v>
      </c>
      <c r="N152" s="5">
        <v>44679.0</v>
      </c>
    </row>
    <row r="153">
      <c r="A153" s="1" t="s">
        <v>73</v>
      </c>
      <c r="B153" s="1" t="s">
        <v>15</v>
      </c>
      <c r="C153" s="1" t="s">
        <v>26</v>
      </c>
      <c r="D153" s="1" t="str">
        <f>Vlookup(F153,'Oil &amp; Gas Documents - Canada'!F:N,9,FALSE)</f>
        <v>#N/A</v>
      </c>
      <c r="E153" s="1" t="s">
        <v>552</v>
      </c>
      <c r="F153" s="1" t="s">
        <v>553</v>
      </c>
      <c r="G153" s="2" t="s">
        <v>554</v>
      </c>
      <c r="H153" s="4" t="str">
        <f>HYPERLINK("http://nimonikapp.com/legislations/7084","http://nimonikapp.com/legislations/7084")</f>
        <v>http://nimonikapp.com/legislations/7084</v>
      </c>
      <c r="I153" s="1" t="s">
        <v>18</v>
      </c>
      <c r="J153" s="1" t="s">
        <v>555</v>
      </c>
      <c r="K153" s="1" t="s">
        <v>556</v>
      </c>
      <c r="L153" s="5">
        <v>44648.0</v>
      </c>
      <c r="N153" s="5">
        <v>44676.0</v>
      </c>
    </row>
    <row r="154">
      <c r="A154" s="1" t="s">
        <v>557</v>
      </c>
      <c r="B154" s="1" t="s">
        <v>25</v>
      </c>
      <c r="C154" s="1" t="s">
        <v>26</v>
      </c>
      <c r="D154" s="1" t="str">
        <f>Vlookup(F154,'Oil &amp; Gas Documents - Canada'!F:N,9,FALSE)</f>
        <v>#N/A</v>
      </c>
      <c r="E154" s="1" t="s">
        <v>558</v>
      </c>
      <c r="F154" s="1" t="s">
        <v>559</v>
      </c>
      <c r="G154" s="3"/>
      <c r="H154" s="4" t="str">
        <f>HYPERLINK("http://nimonikapp.com/legislations/487","http://nimonikapp.com/legislations/487")</f>
        <v>http://nimonikapp.com/legislations/487</v>
      </c>
      <c r="I154" s="1" t="s">
        <v>18</v>
      </c>
      <c r="J154" s="1" t="s">
        <v>560</v>
      </c>
      <c r="K154" s="1" t="s">
        <v>561</v>
      </c>
      <c r="L154" s="5">
        <v>44651.0</v>
      </c>
      <c r="M154" s="5">
        <v>44651.0</v>
      </c>
      <c r="N154" s="5">
        <v>44670.0</v>
      </c>
    </row>
    <row r="155">
      <c r="A155" s="1" t="s">
        <v>21</v>
      </c>
      <c r="B155" s="1" t="s">
        <v>25</v>
      </c>
      <c r="C155" s="1" t="str">
        <f>Vlookup(F155,'Oil &amp; Gas Documents - Canada'!F:M,2,FALSE)</f>
        <v>oil_and_gas</v>
      </c>
      <c r="D155" s="1" t="str">
        <f>Vlookup(F155,'Oil &amp; Gas Documents - Canada'!F:N,9,FALSE)</f>
        <v/>
      </c>
      <c r="E155" s="1" t="s">
        <v>116</v>
      </c>
      <c r="F155" s="1" t="s">
        <v>117</v>
      </c>
      <c r="G155" s="2" t="s">
        <v>118</v>
      </c>
      <c r="H155" s="4" t="str">
        <f>HYPERLINK("http://nimonikapp.com/legislations/3688","http://nimonikapp.com/legislations/3688")</f>
        <v>http://nimonikapp.com/legislations/3688</v>
      </c>
      <c r="I155" s="1" t="s">
        <v>18</v>
      </c>
      <c r="J155" s="1" t="s">
        <v>562</v>
      </c>
      <c r="K155" s="1" t="s">
        <v>380</v>
      </c>
      <c r="L155" s="5">
        <v>44665.0</v>
      </c>
      <c r="M155" s="5">
        <v>44638.0</v>
      </c>
      <c r="N155" s="5">
        <v>44666.0</v>
      </c>
    </row>
    <row r="156">
      <c r="A156" s="1" t="s">
        <v>21</v>
      </c>
      <c r="B156" s="1" t="s">
        <v>25</v>
      </c>
      <c r="C156" s="1" t="str">
        <f>Vlookup(F156,'Oil &amp; Gas Documents - Canada'!F:M,2,FALSE)</f>
        <v>oil_and_gas</v>
      </c>
      <c r="D156" s="1" t="str">
        <f>Vlookup(F156,'Oil &amp; Gas Documents - Canada'!F:N,9,FALSE)</f>
        <v/>
      </c>
      <c r="E156" s="1" t="s">
        <v>563</v>
      </c>
      <c r="F156" s="1" t="s">
        <v>564</v>
      </c>
      <c r="G156" s="2" t="s">
        <v>565</v>
      </c>
      <c r="H156" s="4" t="str">
        <f>HYPERLINK("http://nimonikapp.com/legislations/4051","http://nimonikapp.com/legislations/4051")</f>
        <v>http://nimonikapp.com/legislations/4051</v>
      </c>
      <c r="I156" s="1" t="s">
        <v>18</v>
      </c>
      <c r="J156" s="1" t="s">
        <v>566</v>
      </c>
      <c r="K156" s="1" t="s">
        <v>567</v>
      </c>
      <c r="L156" s="5">
        <v>44657.0</v>
      </c>
      <c r="M156" s="5">
        <v>44657.0</v>
      </c>
      <c r="N156" s="5">
        <v>44666.0</v>
      </c>
    </row>
    <row r="157">
      <c r="A157" s="1" t="s">
        <v>24</v>
      </c>
      <c r="B157" s="1" t="s">
        <v>25</v>
      </c>
      <c r="C157" s="1" t="s">
        <v>26</v>
      </c>
      <c r="D157" s="1" t="str">
        <f>Vlookup(F157,'Oil &amp; Gas Documents - Canada'!F:N,9,FALSE)</f>
        <v>#N/A</v>
      </c>
      <c r="E157" s="1" t="s">
        <v>568</v>
      </c>
      <c r="F157" s="1" t="s">
        <v>569</v>
      </c>
      <c r="G157" s="2" t="s">
        <v>570</v>
      </c>
      <c r="H157" s="4" t="str">
        <f>HYPERLINK("http://nimonikapp.com/legislations/7012","http://nimonikapp.com/legislations/7012")</f>
        <v>http://nimonikapp.com/legislations/7012</v>
      </c>
      <c r="I157" s="1" t="s">
        <v>18</v>
      </c>
      <c r="J157" s="1" t="s">
        <v>571</v>
      </c>
      <c r="K157" s="1" t="s">
        <v>572</v>
      </c>
      <c r="L157" s="5">
        <v>44656.0</v>
      </c>
      <c r="M157" s="5">
        <v>44650.0</v>
      </c>
      <c r="N157" s="5">
        <v>44664.0</v>
      </c>
    </row>
    <row r="158">
      <c r="A158" s="1" t="s">
        <v>73</v>
      </c>
      <c r="B158" s="1" t="s">
        <v>15</v>
      </c>
      <c r="C158" s="1" t="s">
        <v>26</v>
      </c>
      <c r="D158" s="1" t="str">
        <f>Vlookup(F158,'Oil &amp; Gas Documents - Canada'!F:N,9,FALSE)</f>
        <v>#N/A</v>
      </c>
      <c r="E158" s="1" t="s">
        <v>573</v>
      </c>
      <c r="F158" s="1" t="s">
        <v>574</v>
      </c>
      <c r="G158" s="2" t="s">
        <v>575</v>
      </c>
      <c r="H158" s="4" t="str">
        <f>HYPERLINK("http://nimonikapp.com/legislations/117084","http://nimonikapp.com/legislations/117084")</f>
        <v>http://nimonikapp.com/legislations/117084</v>
      </c>
      <c r="I158" s="1" t="s">
        <v>52</v>
      </c>
      <c r="J158" s="1" t="s">
        <v>576</v>
      </c>
      <c r="K158" s="1" t="s">
        <v>577</v>
      </c>
      <c r="L158" s="5">
        <v>44470.0</v>
      </c>
      <c r="M158" s="5">
        <v>44470.0</v>
      </c>
      <c r="N158" s="5">
        <v>44663.0</v>
      </c>
    </row>
    <row r="159">
      <c r="A159" s="1" t="s">
        <v>73</v>
      </c>
      <c r="B159" s="1" t="s">
        <v>15</v>
      </c>
      <c r="C159" s="1" t="s">
        <v>26</v>
      </c>
      <c r="D159" s="1" t="str">
        <f>Vlookup(F159,'Oil &amp; Gas Documents - Canada'!F:N,9,FALSE)</f>
        <v>#N/A</v>
      </c>
      <c r="E159" s="1" t="s">
        <v>578</v>
      </c>
      <c r="F159" s="1" t="s">
        <v>579</v>
      </c>
      <c r="G159" s="2" t="s">
        <v>580</v>
      </c>
      <c r="H159" s="4" t="str">
        <f>HYPERLINK("http://nimonikapp.com/legislations/117086","http://nimonikapp.com/legislations/117086")</f>
        <v>http://nimonikapp.com/legislations/117086</v>
      </c>
      <c r="I159" s="1" t="s">
        <v>52</v>
      </c>
      <c r="J159" s="1" t="s">
        <v>581</v>
      </c>
      <c r="K159" s="1" t="s">
        <v>578</v>
      </c>
      <c r="L159" s="5">
        <v>44470.0</v>
      </c>
      <c r="M159" s="5">
        <v>44470.0</v>
      </c>
      <c r="N159" s="5">
        <v>44663.0</v>
      </c>
    </row>
    <row r="160">
      <c r="A160" s="1" t="s">
        <v>14</v>
      </c>
      <c r="B160" s="1" t="s">
        <v>25</v>
      </c>
      <c r="C160" s="1" t="s">
        <v>26</v>
      </c>
      <c r="D160" s="1" t="str">
        <f>Vlookup(F160,'Oil &amp; Gas Documents - Canada'!F:N,9,FALSE)</f>
        <v>#N/A</v>
      </c>
      <c r="E160" s="1" t="s">
        <v>476</v>
      </c>
      <c r="F160" s="1" t="s">
        <v>477</v>
      </c>
      <c r="G160" s="2" t="s">
        <v>478</v>
      </c>
      <c r="H160" s="4" t="str">
        <f>HYPERLINK("http://nimonikapp.com/legislations/123010","http://nimonikapp.com/legislations/123010")</f>
        <v>http://nimonikapp.com/legislations/123010</v>
      </c>
      <c r="I160" s="1" t="s">
        <v>18</v>
      </c>
      <c r="J160" s="1" t="s">
        <v>582</v>
      </c>
      <c r="K160" s="1" t="s">
        <v>583</v>
      </c>
      <c r="L160" s="5">
        <v>44659.0</v>
      </c>
      <c r="M160" s="5">
        <v>44651.0</v>
      </c>
      <c r="N160" s="5">
        <v>44663.0</v>
      </c>
    </row>
    <row r="161">
      <c r="A161" s="1" t="s">
        <v>21</v>
      </c>
      <c r="B161" s="1" t="s">
        <v>352</v>
      </c>
      <c r="C161" s="1" t="str">
        <f>Vlookup(F161,'Oil &amp; Gas Documents - Canada'!F:M,2,FALSE)</f>
        <v>oil_and_gas</v>
      </c>
      <c r="D161" s="1" t="str">
        <f>Vlookup(F161,'Oil &amp; Gas Documents - Canada'!F:N,9,FALSE)</f>
        <v/>
      </c>
      <c r="E161" s="1" t="s">
        <v>584</v>
      </c>
      <c r="F161" s="1" t="s">
        <v>585</v>
      </c>
      <c r="G161" s="2" t="s">
        <v>586</v>
      </c>
      <c r="H161" s="4" t="str">
        <f>HYPERLINK("http://nimonikapp.com/legislations/115649","http://nimonikapp.com/legislations/115649")</f>
        <v>http://nimonikapp.com/legislations/115649</v>
      </c>
      <c r="I161" s="1" t="s">
        <v>356</v>
      </c>
      <c r="J161" s="1" t="s">
        <v>587</v>
      </c>
      <c r="K161" s="1" t="s">
        <v>588</v>
      </c>
      <c r="L161" s="5">
        <v>44648.0</v>
      </c>
      <c r="M161" s="5">
        <v>44648.0</v>
      </c>
      <c r="N161" s="5">
        <v>44651.0</v>
      </c>
    </row>
    <row r="162">
      <c r="A162" s="1" t="s">
        <v>21</v>
      </c>
      <c r="B162" s="1" t="s">
        <v>352</v>
      </c>
      <c r="C162" s="1" t="str">
        <f>Vlookup(F162,'Oil &amp; Gas Documents - Canada'!F:M,2,FALSE)</f>
        <v>oil_and_gas</v>
      </c>
      <c r="D162" s="1" t="str">
        <f>Vlookup(F162,'Oil &amp; Gas Documents - Canada'!F:N,9,FALSE)</f>
        <v/>
      </c>
      <c r="E162" s="1" t="s">
        <v>589</v>
      </c>
      <c r="F162" s="1" t="s">
        <v>590</v>
      </c>
      <c r="G162" s="2" t="s">
        <v>586</v>
      </c>
      <c r="H162" s="4" t="str">
        <f>HYPERLINK("http://nimonikapp.com/legislations/115650","http://nimonikapp.com/legislations/115650")</f>
        <v>http://nimonikapp.com/legislations/115650</v>
      </c>
      <c r="I162" s="1" t="s">
        <v>356</v>
      </c>
      <c r="J162" s="1" t="s">
        <v>587</v>
      </c>
      <c r="K162" s="1" t="s">
        <v>588</v>
      </c>
      <c r="L162" s="5">
        <v>44648.0</v>
      </c>
      <c r="M162" s="5">
        <v>44648.0</v>
      </c>
      <c r="N162" s="5">
        <v>44651.0</v>
      </c>
    </row>
    <row r="163">
      <c r="A163" s="1" t="s">
        <v>21</v>
      </c>
      <c r="B163" s="1" t="s">
        <v>25</v>
      </c>
      <c r="C163" s="1" t="str">
        <f>Vlookup(F163,'Oil &amp; Gas Documents - Canada'!F:M,2,FALSE)</f>
        <v>oil_and_gas</v>
      </c>
      <c r="D163" s="1" t="str">
        <f>Vlookup(F163,'Oil &amp; Gas Documents - Canada'!F:N,9,FALSE)</f>
        <v/>
      </c>
      <c r="E163" s="1" t="s">
        <v>164</v>
      </c>
      <c r="F163" s="1" t="s">
        <v>165</v>
      </c>
      <c r="G163" s="2" t="s">
        <v>166</v>
      </c>
      <c r="H163" s="4" t="str">
        <f>HYPERLINK("http://nimonikapp.com/legislations/4050","http://nimonikapp.com/legislations/4050")</f>
        <v>http://nimonikapp.com/legislations/4050</v>
      </c>
      <c r="I163" s="1" t="s">
        <v>18</v>
      </c>
      <c r="J163" s="1" t="s">
        <v>587</v>
      </c>
      <c r="K163" s="1" t="s">
        <v>588</v>
      </c>
      <c r="L163" s="5">
        <v>44648.0</v>
      </c>
      <c r="M163" s="5">
        <v>44648.0</v>
      </c>
      <c r="N163" s="5">
        <v>44651.0</v>
      </c>
    </row>
    <row r="164">
      <c r="A164" s="1" t="s">
        <v>21</v>
      </c>
      <c r="B164" s="1" t="s">
        <v>25</v>
      </c>
      <c r="C164" s="1" t="str">
        <f>Vlookup(F164,'Oil &amp; Gas Documents - Canada'!F:M,2,FALSE)</f>
        <v>oil_and_gas</v>
      </c>
      <c r="D164" s="1" t="str">
        <f>Vlookup(F164,'Oil &amp; Gas Documents - Canada'!F:N,9,FALSE)</f>
        <v/>
      </c>
      <c r="E164" s="1" t="s">
        <v>297</v>
      </c>
      <c r="F164" s="1" t="s">
        <v>298</v>
      </c>
      <c r="G164" s="2" t="s">
        <v>299</v>
      </c>
      <c r="H164" s="4" t="str">
        <f>HYPERLINK("http://nimonikapp.com/legislations/4047","http://nimonikapp.com/legislations/4047")</f>
        <v>http://nimonikapp.com/legislations/4047</v>
      </c>
      <c r="I164" s="1" t="s">
        <v>18</v>
      </c>
      <c r="J164" s="1" t="s">
        <v>587</v>
      </c>
      <c r="K164" s="1" t="s">
        <v>588</v>
      </c>
      <c r="L164" s="5">
        <v>44648.0</v>
      </c>
      <c r="M164" s="5">
        <v>44648.0</v>
      </c>
      <c r="N164" s="5">
        <v>44651.0</v>
      </c>
    </row>
    <row r="165">
      <c r="A165" s="1" t="s">
        <v>21</v>
      </c>
      <c r="B165" s="1" t="s">
        <v>25</v>
      </c>
      <c r="C165" s="1" t="str">
        <f>Vlookup(F165,'Oil &amp; Gas Documents - Canada'!F:M,2,FALSE)</f>
        <v>oil_and_gas</v>
      </c>
      <c r="D165" s="1" t="str">
        <f>Vlookup(F165,'Oil &amp; Gas Documents - Canada'!F:N,9,FALSE)</f>
        <v/>
      </c>
      <c r="E165" s="1" t="s">
        <v>307</v>
      </c>
      <c r="F165" s="1" t="s">
        <v>308</v>
      </c>
      <c r="G165" s="2" t="s">
        <v>309</v>
      </c>
      <c r="H165" s="4" t="str">
        <f>HYPERLINK("http://nimonikapp.com/legislations/4045","http://nimonikapp.com/legislations/4045")</f>
        <v>http://nimonikapp.com/legislations/4045</v>
      </c>
      <c r="I165" s="1" t="s">
        <v>18</v>
      </c>
      <c r="J165" s="1" t="s">
        <v>591</v>
      </c>
      <c r="K165" s="1" t="s">
        <v>592</v>
      </c>
      <c r="L165" s="5">
        <v>44648.0</v>
      </c>
      <c r="M165" s="5">
        <v>44648.0</v>
      </c>
      <c r="N165" s="5">
        <v>44651.0</v>
      </c>
    </row>
    <row r="166">
      <c r="A166" s="1" t="s">
        <v>73</v>
      </c>
      <c r="B166" s="1" t="s">
        <v>15</v>
      </c>
      <c r="C166" s="1" t="s">
        <v>26</v>
      </c>
      <c r="D166" s="1" t="str">
        <f>Vlookup(F166,'Oil &amp; Gas Documents - Canada'!F:N,9,FALSE)</f>
        <v>#N/A</v>
      </c>
      <c r="E166" s="1" t="s">
        <v>593</v>
      </c>
      <c r="F166" s="1" t="s">
        <v>594</v>
      </c>
      <c r="G166" s="2" t="s">
        <v>595</v>
      </c>
      <c r="H166" s="4" t="str">
        <f>HYPERLINK("http://nimonikapp.com/legislations/11747","http://nimonikapp.com/legislations/11747")</f>
        <v>http://nimonikapp.com/legislations/11747</v>
      </c>
      <c r="I166" s="1" t="s">
        <v>18</v>
      </c>
      <c r="J166" s="1" t="s">
        <v>596</v>
      </c>
      <c r="K166" s="1" t="s">
        <v>597</v>
      </c>
      <c r="L166" s="5">
        <v>44621.0</v>
      </c>
      <c r="M166" s="5">
        <v>44621.0</v>
      </c>
      <c r="N166" s="5">
        <v>44648.0</v>
      </c>
    </row>
    <row r="167">
      <c r="A167" s="1" t="s">
        <v>53</v>
      </c>
      <c r="B167" s="1" t="s">
        <v>25</v>
      </c>
      <c r="C167" s="1" t="s">
        <v>26</v>
      </c>
      <c r="D167" s="1" t="str">
        <f>Vlookup(F167,'Oil &amp; Gas Documents - Canada'!F:N,9,FALSE)</f>
        <v>#N/A</v>
      </c>
      <c r="E167" s="1" t="s">
        <v>598</v>
      </c>
      <c r="F167" s="1" t="s">
        <v>599</v>
      </c>
      <c r="G167" s="2" t="s">
        <v>600</v>
      </c>
      <c r="H167" s="4" t="str">
        <f>HYPERLINK("http://nimonikapp.com/legislations/3686","http://nimonikapp.com/legislations/3686")</f>
        <v>http://nimonikapp.com/legislations/3686</v>
      </c>
      <c r="I167" s="1" t="s">
        <v>18</v>
      </c>
      <c r="J167" s="1" t="s">
        <v>601</v>
      </c>
      <c r="K167" s="1" t="s">
        <v>602</v>
      </c>
      <c r="L167" s="5">
        <v>44645.0</v>
      </c>
      <c r="M167" s="5">
        <v>44635.0</v>
      </c>
      <c r="N167" s="5">
        <v>44648.0</v>
      </c>
    </row>
    <row r="168">
      <c r="A168" s="1" t="s">
        <v>73</v>
      </c>
      <c r="B168" s="1" t="s">
        <v>25</v>
      </c>
      <c r="C168" s="1" t="s">
        <v>26</v>
      </c>
      <c r="D168" s="1" t="str">
        <f>Vlookup(F168,'Oil &amp; Gas Documents - Canada'!F:N,9,FALSE)</f>
        <v>#N/A</v>
      </c>
      <c r="E168" s="1" t="s">
        <v>603</v>
      </c>
      <c r="F168" s="1" t="s">
        <v>604</v>
      </c>
      <c r="G168" s="2" t="s">
        <v>605</v>
      </c>
      <c r="H168" s="4" t="str">
        <f>HYPERLINK("http://nimonikapp.com/legislations/422","http://nimonikapp.com/legislations/422")</f>
        <v>http://nimonikapp.com/legislations/422</v>
      </c>
      <c r="I168" s="1" t="s">
        <v>18</v>
      </c>
      <c r="J168" s="1" t="s">
        <v>606</v>
      </c>
      <c r="K168" s="1" t="s">
        <v>607</v>
      </c>
      <c r="L168" s="5">
        <v>44646.0</v>
      </c>
      <c r="N168" s="5">
        <v>44648.0</v>
      </c>
    </row>
    <row r="169">
      <c r="A169" s="1" t="s">
        <v>99</v>
      </c>
      <c r="B169" s="1" t="s">
        <v>25</v>
      </c>
      <c r="C169" s="1" t="str">
        <f>Vlookup(F169,'Oil &amp; Gas Documents - Canada'!F:M,2,FALSE)</f>
        <v>oil_and_gas, mining_and_minerals_industry</v>
      </c>
      <c r="D169" s="1" t="str">
        <f>Vlookup(F169,'Oil &amp; Gas Documents - Canada'!F:N,9,FALSE)</f>
        <v/>
      </c>
      <c r="E169" s="1" t="s">
        <v>608</v>
      </c>
      <c r="F169" s="1" t="s">
        <v>609</v>
      </c>
      <c r="G169" s="2" t="s">
        <v>610</v>
      </c>
      <c r="H169" s="4" t="str">
        <f>HYPERLINK("http://nimonikapp.com/legislations/3594","http://nimonikapp.com/legislations/3594")</f>
        <v>http://nimonikapp.com/legislations/3594</v>
      </c>
      <c r="I169" s="1" t="s">
        <v>18</v>
      </c>
      <c r="J169" s="1" t="s">
        <v>611</v>
      </c>
      <c r="K169" s="1" t="s">
        <v>612</v>
      </c>
      <c r="L169" s="5">
        <v>44645.0</v>
      </c>
      <c r="M169" s="5">
        <v>44645.0</v>
      </c>
      <c r="N169" s="5">
        <v>44648.0</v>
      </c>
    </row>
    <row r="170">
      <c r="A170" s="1" t="s">
        <v>99</v>
      </c>
      <c r="B170" s="1" t="s">
        <v>352</v>
      </c>
      <c r="C170" s="1" t="str">
        <f>Vlookup(F170,'Oil &amp; Gas Documents - Canada'!F:M,2,FALSE)</f>
        <v>oil_and_gas</v>
      </c>
      <c r="D170" s="1" t="str">
        <f>Vlookup(F170,'Oil &amp; Gas Documents - Canada'!F:N,9,FALSE)</f>
        <v/>
      </c>
      <c r="E170" s="1" t="s">
        <v>613</v>
      </c>
      <c r="F170" s="1" t="s">
        <v>614</v>
      </c>
      <c r="G170" s="2" t="s">
        <v>615</v>
      </c>
      <c r="H170" s="4" t="str">
        <f>HYPERLINK("http://nimonikapp.com/legislations/1405","http://nimonikapp.com/legislations/1405")</f>
        <v>http://nimonikapp.com/legislations/1405</v>
      </c>
      <c r="I170" s="1" t="s">
        <v>356</v>
      </c>
      <c r="J170" s="1" t="s">
        <v>616</v>
      </c>
      <c r="K170" s="1" t="s">
        <v>617</v>
      </c>
      <c r="L170" s="5">
        <v>44645.0</v>
      </c>
      <c r="M170" s="5">
        <v>44645.0</v>
      </c>
      <c r="N170" s="5">
        <v>44648.0</v>
      </c>
    </row>
    <row r="171">
      <c r="A171" s="1" t="s">
        <v>99</v>
      </c>
      <c r="B171" s="1" t="s">
        <v>25</v>
      </c>
      <c r="C171" s="1" t="s">
        <v>26</v>
      </c>
      <c r="D171" s="1" t="str">
        <f>Vlookup(F171,'Oil &amp; Gas Documents - Canada'!F:N,9,FALSE)</f>
        <v>#N/A</v>
      </c>
      <c r="E171" s="1" t="s">
        <v>618</v>
      </c>
      <c r="F171" s="1" t="s">
        <v>619</v>
      </c>
      <c r="G171" s="3"/>
      <c r="H171" s="4" t="str">
        <f>HYPERLINK("http://nimonikapp.com/legislations/123276","http://nimonikapp.com/legislations/123276")</f>
        <v>http://nimonikapp.com/legislations/123276</v>
      </c>
      <c r="I171" s="1" t="s">
        <v>18</v>
      </c>
      <c r="J171" s="1" t="s">
        <v>616</v>
      </c>
      <c r="K171" s="1" t="s">
        <v>617</v>
      </c>
      <c r="L171" s="5">
        <v>44645.0</v>
      </c>
      <c r="M171" s="5">
        <v>44645.0</v>
      </c>
      <c r="N171" s="5">
        <v>44648.0</v>
      </c>
    </row>
    <row r="172">
      <c r="A172" s="1" t="s">
        <v>73</v>
      </c>
      <c r="B172" s="1" t="s">
        <v>15</v>
      </c>
      <c r="C172" s="1" t="s">
        <v>26</v>
      </c>
      <c r="D172" s="1" t="str">
        <f>Vlookup(F172,'Oil &amp; Gas Documents - Canada'!F:N,9,FALSE)</f>
        <v>#N/A</v>
      </c>
      <c r="E172" s="1" t="s">
        <v>620</v>
      </c>
      <c r="F172" s="1" t="s">
        <v>621</v>
      </c>
      <c r="G172" s="2" t="s">
        <v>622</v>
      </c>
      <c r="H172" s="4" t="str">
        <f>HYPERLINK("http://nimonikapp.com/legislations/779","http://nimonikapp.com/legislations/779")</f>
        <v>http://nimonikapp.com/legislations/779</v>
      </c>
      <c r="I172" s="1" t="s">
        <v>18</v>
      </c>
      <c r="J172" s="1" t="s">
        <v>623</v>
      </c>
      <c r="K172" s="1" t="s">
        <v>624</v>
      </c>
      <c r="L172" s="5">
        <v>44593.0</v>
      </c>
      <c r="M172" s="5">
        <v>44593.0</v>
      </c>
      <c r="N172" s="5">
        <v>44644.0</v>
      </c>
    </row>
    <row r="173">
      <c r="A173" s="1" t="s">
        <v>21</v>
      </c>
      <c r="B173" s="1" t="s">
        <v>25</v>
      </c>
      <c r="C173" s="1" t="str">
        <f>Vlookup(F173,'Oil &amp; Gas Documents - Canada'!F:M,2,FALSE)</f>
        <v>oil_and_gas</v>
      </c>
      <c r="D173" s="1" t="str">
        <f>Vlookup(F173,'Oil &amp; Gas Documents - Canada'!F:N,9,FALSE)</f>
        <v/>
      </c>
      <c r="E173" s="1" t="s">
        <v>625</v>
      </c>
      <c r="F173" s="1" t="s">
        <v>626</v>
      </c>
      <c r="G173" s="2" t="s">
        <v>627</v>
      </c>
      <c r="H173" s="4" t="str">
        <f>HYPERLINK("http://nimonikapp.com/legislations/4040","http://nimonikapp.com/legislations/4040")</f>
        <v>http://nimonikapp.com/legislations/4040</v>
      </c>
      <c r="I173" s="1" t="s">
        <v>18</v>
      </c>
      <c r="J173" s="1" t="s">
        <v>628</v>
      </c>
      <c r="K173" s="1" t="s">
        <v>629</v>
      </c>
      <c r="L173" s="5">
        <v>44637.0</v>
      </c>
      <c r="M173" s="5">
        <v>44637.0</v>
      </c>
      <c r="N173" s="5">
        <v>44644.0</v>
      </c>
    </row>
    <row r="174">
      <c r="A174" s="1" t="s">
        <v>53</v>
      </c>
      <c r="B174" s="1" t="s">
        <v>364</v>
      </c>
      <c r="C174" s="1" t="s">
        <v>26</v>
      </c>
      <c r="D174" s="1" t="str">
        <f>Vlookup(F174,'Oil &amp; Gas Documents - Canada'!F:N,9,FALSE)</f>
        <v>#N/A</v>
      </c>
      <c r="E174" s="1" t="s">
        <v>630</v>
      </c>
      <c r="F174" s="1" t="s">
        <v>631</v>
      </c>
      <c r="G174" s="2" t="s">
        <v>632</v>
      </c>
      <c r="H174" s="4" t="str">
        <f>HYPERLINK("http://nimonikapp.com/legislations/587","http://nimonikapp.com/legislations/587")</f>
        <v>http://nimonikapp.com/legislations/587</v>
      </c>
      <c r="I174" s="1" t="s">
        <v>356</v>
      </c>
      <c r="J174" s="1" t="s">
        <v>633</v>
      </c>
      <c r="K174" s="1" t="s">
        <v>634</v>
      </c>
      <c r="L174" s="5">
        <v>44541.0</v>
      </c>
      <c r="M174" s="5">
        <v>44541.0</v>
      </c>
      <c r="N174" s="5">
        <v>44642.0</v>
      </c>
    </row>
    <row r="175">
      <c r="A175" s="1" t="s">
        <v>70</v>
      </c>
      <c r="B175" s="1" t="s">
        <v>15</v>
      </c>
      <c r="C175" s="1" t="s">
        <v>26</v>
      </c>
      <c r="D175" s="1" t="str">
        <f>Vlookup(F175,'Oil &amp; Gas Documents - Canada'!F:N,9,FALSE)</f>
        <v>#N/A</v>
      </c>
      <c r="E175" s="1" t="s">
        <v>635</v>
      </c>
      <c r="F175" s="1" t="s">
        <v>636</v>
      </c>
      <c r="G175" s="3"/>
      <c r="H175" s="4" t="str">
        <f>HYPERLINK("http://nimonikapp.com/legislations/338769","http://nimonikapp.com/legislations/338769")</f>
        <v>http://nimonikapp.com/legislations/338769</v>
      </c>
      <c r="I175" s="1" t="s">
        <v>516</v>
      </c>
      <c r="L175" s="5">
        <v>44631.0</v>
      </c>
      <c r="N175" s="5">
        <v>44637.0</v>
      </c>
    </row>
    <row r="176">
      <c r="A176" s="1" t="s">
        <v>21</v>
      </c>
      <c r="B176" s="1" t="s">
        <v>25</v>
      </c>
      <c r="C176" s="1" t="str">
        <f>Vlookup(F176,'Oil &amp; Gas Documents - Canada'!F:M,2,FALSE)</f>
        <v>general, oil_and_gas, mining_and_minerals_industry</v>
      </c>
      <c r="D176" s="1" t="str">
        <f>Vlookup(F176,'Oil &amp; Gas Documents - Canada'!F:N,9,FALSE)</f>
        <v/>
      </c>
      <c r="E176" s="1" t="s">
        <v>637</v>
      </c>
      <c r="F176" s="1" t="s">
        <v>638</v>
      </c>
      <c r="G176" s="3"/>
      <c r="H176" s="4" t="str">
        <f>HYPERLINK("http://nimonikapp.com/legislations/4100","http://nimonikapp.com/legislations/4100")</f>
        <v>http://nimonikapp.com/legislations/4100</v>
      </c>
      <c r="I176" s="1" t="s">
        <v>18</v>
      </c>
      <c r="J176" s="1" t="s">
        <v>639</v>
      </c>
      <c r="K176" s="1" t="s">
        <v>640</v>
      </c>
      <c r="L176" s="5">
        <v>44635.0</v>
      </c>
      <c r="M176" s="5">
        <v>44615.0</v>
      </c>
      <c r="N176" s="5">
        <v>44637.0</v>
      </c>
    </row>
    <row r="177">
      <c r="A177" s="1" t="s">
        <v>202</v>
      </c>
      <c r="B177" s="1" t="s">
        <v>25</v>
      </c>
      <c r="C177" s="1" t="str">
        <f>Vlookup(F177,'Oil &amp; Gas Documents - Canada'!F:M,2,FALSE)</f>
        <v>oil_and_gas</v>
      </c>
      <c r="D177" s="1" t="str">
        <f>Vlookup(F177,'Oil &amp; Gas Documents - Canada'!F:N,9,FALSE)</f>
        <v/>
      </c>
      <c r="E177" s="1" t="s">
        <v>641</v>
      </c>
      <c r="F177" s="1" t="s">
        <v>642</v>
      </c>
      <c r="G177" s="2" t="s">
        <v>643</v>
      </c>
      <c r="H177" s="4" t="str">
        <f>HYPERLINK("http://nimonikapp.com/legislations/117100","http://nimonikapp.com/legislations/117100")</f>
        <v>http://nimonikapp.com/legislations/117100</v>
      </c>
      <c r="I177" s="1" t="s">
        <v>18</v>
      </c>
      <c r="J177" s="1" t="s">
        <v>644</v>
      </c>
      <c r="K177" s="1" t="s">
        <v>645</v>
      </c>
      <c r="L177" s="5">
        <v>44632.0</v>
      </c>
      <c r="N177" s="5">
        <v>44635.0</v>
      </c>
    </row>
    <row r="178">
      <c r="A178" s="1" t="s">
        <v>202</v>
      </c>
      <c r="B178" s="1" t="s">
        <v>25</v>
      </c>
      <c r="C178" s="1" t="str">
        <f>Vlookup(F178,'Oil &amp; Gas Documents - Canada'!F:M,2,FALSE)</f>
        <v>oil_and_gas</v>
      </c>
      <c r="D178" s="1" t="str">
        <f>Vlookup(F178,'Oil &amp; Gas Documents - Canada'!F:N,9,FALSE)</f>
        <v/>
      </c>
      <c r="E178" s="1" t="s">
        <v>646</v>
      </c>
      <c r="F178" s="1" t="s">
        <v>647</v>
      </c>
      <c r="G178" s="2" t="s">
        <v>643</v>
      </c>
      <c r="H178" s="4" t="str">
        <f>HYPERLINK("http://nimonikapp.com/legislations/117101","http://nimonikapp.com/legislations/117101")</f>
        <v>http://nimonikapp.com/legislations/117101</v>
      </c>
      <c r="I178" s="1" t="s">
        <v>18</v>
      </c>
      <c r="J178" s="1" t="s">
        <v>648</v>
      </c>
      <c r="K178" s="1" t="s">
        <v>649</v>
      </c>
      <c r="L178" s="5">
        <v>44632.0</v>
      </c>
      <c r="N178" s="5">
        <v>44635.0</v>
      </c>
    </row>
    <row r="179">
      <c r="A179" s="1" t="s">
        <v>202</v>
      </c>
      <c r="B179" s="1" t="s">
        <v>25</v>
      </c>
      <c r="C179" s="1" t="str">
        <f>Vlookup(F179,'Oil &amp; Gas Documents - Canada'!F:M,2,FALSE)</f>
        <v>oil_and_gas</v>
      </c>
      <c r="D179" s="1" t="str">
        <f>Vlookup(F179,'Oil &amp; Gas Documents - Canada'!F:N,9,FALSE)</f>
        <v/>
      </c>
      <c r="E179" s="1" t="s">
        <v>650</v>
      </c>
      <c r="F179" s="1" t="s">
        <v>651</v>
      </c>
      <c r="G179" s="2" t="s">
        <v>643</v>
      </c>
      <c r="H179" s="4" t="str">
        <f>HYPERLINK("http://nimonikapp.com/legislations/117267","http://nimonikapp.com/legislations/117267")</f>
        <v>http://nimonikapp.com/legislations/117267</v>
      </c>
      <c r="I179" s="1" t="s">
        <v>18</v>
      </c>
      <c r="J179" s="1" t="s">
        <v>652</v>
      </c>
      <c r="K179" s="1" t="s">
        <v>653</v>
      </c>
      <c r="L179" s="5">
        <v>44632.0</v>
      </c>
      <c r="N179" s="5">
        <v>44635.0</v>
      </c>
    </row>
    <row r="180">
      <c r="A180" s="1" t="s">
        <v>70</v>
      </c>
      <c r="B180" s="1" t="s">
        <v>25</v>
      </c>
      <c r="C180" s="1" t="str">
        <f>Vlookup(F180,'Oil &amp; Gas Documents - Canada'!F:M,2,FALSE)</f>
        <v>oil_and_gas, mining_and_minerals_industry</v>
      </c>
      <c r="D180" s="1" t="str">
        <f>Vlookup(F180,'Oil &amp; Gas Documents - Canada'!F:N,9,FALSE)</f>
        <v/>
      </c>
      <c r="E180" s="1" t="s">
        <v>654</v>
      </c>
      <c r="F180" s="1" t="s">
        <v>655</v>
      </c>
      <c r="G180" s="2" t="s">
        <v>656</v>
      </c>
      <c r="H180" s="4" t="str">
        <f>HYPERLINK("http://nimonikapp.com/legislations/13550","http://nimonikapp.com/legislations/13550")</f>
        <v>http://nimonikapp.com/legislations/13550</v>
      </c>
      <c r="I180" s="1" t="s">
        <v>18</v>
      </c>
      <c r="J180" s="1" t="s">
        <v>657</v>
      </c>
      <c r="K180" s="1" t="s">
        <v>658</v>
      </c>
      <c r="L180" s="5">
        <v>44639.0</v>
      </c>
      <c r="M180" s="5">
        <v>44743.0</v>
      </c>
      <c r="N180" s="5">
        <v>44630.0</v>
      </c>
    </row>
    <row r="181">
      <c r="A181" s="1" t="s">
        <v>70</v>
      </c>
      <c r="B181" s="1" t="s">
        <v>364</v>
      </c>
      <c r="C181" s="1" t="str">
        <f>Vlookup(F181,'Oil &amp; Gas Documents - Canada'!F:M,2,FALSE)</f>
        <v>oil_and_gas</v>
      </c>
      <c r="D181" s="1" t="str">
        <f>Vlookup(F181,'Oil &amp; Gas Documents - Canada'!F:N,9,FALSE)</f>
        <v/>
      </c>
      <c r="E181" s="1" t="s">
        <v>659</v>
      </c>
      <c r="F181" s="1" t="s">
        <v>660</v>
      </c>
      <c r="G181" s="2" t="s">
        <v>661</v>
      </c>
      <c r="H181" s="4" t="str">
        <f>HYPERLINK("http://nimonikapp.com/legislations/114325","http://nimonikapp.com/legislations/114325")</f>
        <v>http://nimonikapp.com/legislations/114325</v>
      </c>
      <c r="I181" s="1" t="s">
        <v>18</v>
      </c>
      <c r="J181" s="1" t="s">
        <v>662</v>
      </c>
      <c r="K181" s="1" t="s">
        <v>663</v>
      </c>
      <c r="L181" s="5">
        <v>44632.0</v>
      </c>
      <c r="M181" s="5">
        <v>44617.0</v>
      </c>
      <c r="N181" s="5">
        <v>44628.0</v>
      </c>
    </row>
    <row r="182">
      <c r="A182" s="1" t="s">
        <v>70</v>
      </c>
      <c r="B182" s="1" t="s">
        <v>25</v>
      </c>
      <c r="C182" s="1" t="s">
        <v>26</v>
      </c>
      <c r="D182" s="1" t="str">
        <f>Vlookup(F182,'Oil &amp; Gas Documents - Canada'!F:N,9,FALSE)</f>
        <v>#N/A</v>
      </c>
      <c r="E182" s="1" t="s">
        <v>664</v>
      </c>
      <c r="F182" s="1" t="s">
        <v>665</v>
      </c>
      <c r="G182" s="2" t="s">
        <v>666</v>
      </c>
      <c r="H182" s="4" t="str">
        <f>HYPERLINK("http://nimonikapp.com/legislations/1007","http://nimonikapp.com/legislations/1007")</f>
        <v>http://nimonikapp.com/legislations/1007</v>
      </c>
      <c r="I182" s="1" t="s">
        <v>18</v>
      </c>
      <c r="J182" s="1" t="s">
        <v>667</v>
      </c>
      <c r="K182" s="1" t="s">
        <v>668</v>
      </c>
      <c r="L182" s="5">
        <v>44632.0</v>
      </c>
      <c r="M182" s="5">
        <v>45108.0</v>
      </c>
      <c r="N182" s="5">
        <v>44622.0</v>
      </c>
    </row>
    <row r="183">
      <c r="A183" s="1" t="s">
        <v>70</v>
      </c>
      <c r="B183" s="1" t="s">
        <v>25</v>
      </c>
      <c r="C183" s="1" t="str">
        <f>Vlookup(F183,'Oil &amp; Gas Documents - Canada'!F:M,2,FALSE)</f>
        <v>oil_and_gas</v>
      </c>
      <c r="D183" s="1" t="str">
        <f>Vlookup(F183,'Oil &amp; Gas Documents - Canada'!F:N,9,FALSE)</f>
        <v/>
      </c>
      <c r="E183" s="1" t="s">
        <v>659</v>
      </c>
      <c r="F183" s="1" t="s">
        <v>660</v>
      </c>
      <c r="G183" s="2" t="s">
        <v>661</v>
      </c>
      <c r="H183" s="4" t="str">
        <f>HYPERLINK("http://nimonikapp.com/legislations/114325","http://nimonikapp.com/legislations/114325")</f>
        <v>http://nimonikapp.com/legislations/114325</v>
      </c>
      <c r="I183" s="1" t="s">
        <v>18</v>
      </c>
      <c r="J183" s="1" t="s">
        <v>669</v>
      </c>
      <c r="K183" s="1" t="s">
        <v>670</v>
      </c>
      <c r="L183" s="5">
        <v>44632.0</v>
      </c>
      <c r="M183" s="5">
        <v>44617.0</v>
      </c>
      <c r="N183" s="5">
        <v>44622.0</v>
      </c>
    </row>
    <row r="184">
      <c r="A184" s="1" t="s">
        <v>70</v>
      </c>
      <c r="B184" s="1" t="s">
        <v>25</v>
      </c>
      <c r="C184" s="1" t="s">
        <v>26</v>
      </c>
      <c r="D184" s="1" t="str">
        <f>Vlookup(F184,'Oil &amp; Gas Documents - Canada'!F:N,9,FALSE)</f>
        <v>#N/A</v>
      </c>
      <c r="E184" s="1" t="s">
        <v>671</v>
      </c>
      <c r="F184" s="1" t="s">
        <v>672</v>
      </c>
      <c r="G184" s="2" t="s">
        <v>673</v>
      </c>
      <c r="H184" s="4" t="str">
        <f>HYPERLINK("http://nimonikapp.com/legislations/1014","http://nimonikapp.com/legislations/1014")</f>
        <v>http://nimonikapp.com/legislations/1014</v>
      </c>
      <c r="I184" s="1" t="s">
        <v>18</v>
      </c>
      <c r="J184" s="1" t="s">
        <v>674</v>
      </c>
      <c r="K184" s="1" t="s">
        <v>675</v>
      </c>
      <c r="L184" s="5">
        <v>44632.0</v>
      </c>
      <c r="M184" s="5">
        <v>44677.0</v>
      </c>
      <c r="N184" s="5">
        <v>44622.0</v>
      </c>
    </row>
    <row r="185">
      <c r="A185" s="1" t="s">
        <v>24</v>
      </c>
      <c r="B185" s="1" t="s">
        <v>25</v>
      </c>
      <c r="C185" s="1" t="s">
        <v>26</v>
      </c>
      <c r="D185" s="1" t="str">
        <f>Vlookup(F185,'Oil &amp; Gas Documents - Canada'!F:N,9,FALSE)</f>
        <v>#N/A</v>
      </c>
      <c r="E185" s="1" t="s">
        <v>568</v>
      </c>
      <c r="F185" s="1" t="s">
        <v>569</v>
      </c>
      <c r="G185" s="2" t="s">
        <v>570</v>
      </c>
      <c r="H185" s="4" t="str">
        <f>HYPERLINK("http://nimonikapp.com/legislations/7012","http://nimonikapp.com/legislations/7012")</f>
        <v>http://nimonikapp.com/legislations/7012</v>
      </c>
      <c r="I185" s="1" t="s">
        <v>18</v>
      </c>
      <c r="J185" s="1" t="s">
        <v>676</v>
      </c>
      <c r="K185" s="1" t="s">
        <v>677</v>
      </c>
      <c r="L185" s="5">
        <v>44614.0</v>
      </c>
      <c r="M185" s="5">
        <v>44614.0</v>
      </c>
      <c r="N185" s="5">
        <v>44621.0</v>
      </c>
    </row>
    <row r="186">
      <c r="A186" s="1" t="s">
        <v>21</v>
      </c>
      <c r="B186" s="1" t="s">
        <v>25</v>
      </c>
      <c r="C186" s="1" t="str">
        <f>Vlookup(F186,'Oil &amp; Gas Documents - Canada'!F:M,2,FALSE)</f>
        <v>oil_and_gas, utilities_and_communications</v>
      </c>
      <c r="D186" s="1" t="str">
        <f>Vlookup(F186,'Oil &amp; Gas Documents - Canada'!F:N,9,FALSE)</f>
        <v/>
      </c>
      <c r="E186" s="1" t="s">
        <v>282</v>
      </c>
      <c r="F186" s="1" t="s">
        <v>283</v>
      </c>
      <c r="G186" s="2" t="s">
        <v>284</v>
      </c>
      <c r="H186" s="4" t="str">
        <f>HYPERLINK("http://nimonikapp.com/legislations/91182","http://nimonikapp.com/legislations/91182")</f>
        <v>http://nimonikapp.com/legislations/91182</v>
      </c>
      <c r="I186" s="1" t="s">
        <v>18</v>
      </c>
      <c r="J186" s="1" t="s">
        <v>678</v>
      </c>
      <c r="K186" s="1" t="s">
        <v>679</v>
      </c>
      <c r="L186" s="5">
        <v>44546.0</v>
      </c>
      <c r="M186" s="5">
        <v>44546.0</v>
      </c>
      <c r="N186" s="5">
        <v>44617.0</v>
      </c>
    </row>
    <row r="187">
      <c r="A187" s="1" t="s">
        <v>21</v>
      </c>
      <c r="B187" s="1" t="s">
        <v>25</v>
      </c>
      <c r="C187" s="1" t="str">
        <f>Vlookup(F187,'Oil &amp; Gas Documents - Canada'!F:M,2,FALSE)</f>
        <v>oil_and_gas</v>
      </c>
      <c r="D187" s="1" t="str">
        <f>Vlookup(F187,'Oil &amp; Gas Documents - Canada'!F:N,9,FALSE)</f>
        <v/>
      </c>
      <c r="E187" s="1" t="s">
        <v>680</v>
      </c>
      <c r="F187" s="1" t="s">
        <v>681</v>
      </c>
      <c r="G187" s="2" t="s">
        <v>682</v>
      </c>
      <c r="H187" s="4" t="str">
        <f>HYPERLINK("http://nimonikapp.com/legislations/91187","http://nimonikapp.com/legislations/91187")</f>
        <v>http://nimonikapp.com/legislations/91187</v>
      </c>
      <c r="I187" s="1" t="s">
        <v>18</v>
      </c>
      <c r="J187" s="1" t="s">
        <v>683</v>
      </c>
      <c r="K187" s="1" t="s">
        <v>684</v>
      </c>
      <c r="L187" s="5">
        <v>44504.0</v>
      </c>
      <c r="M187" s="5">
        <v>44504.0</v>
      </c>
      <c r="N187" s="5">
        <v>44617.0</v>
      </c>
    </row>
    <row r="188">
      <c r="A188" s="1" t="s">
        <v>221</v>
      </c>
      <c r="B188" s="1" t="s">
        <v>25</v>
      </c>
      <c r="C188" s="1" t="str">
        <f>Vlookup(F188,'Oil &amp; Gas Documents - Canada'!F:M,2,FALSE)</f>
        <v>oil_and_gas</v>
      </c>
      <c r="D188" s="1" t="str">
        <f>Vlookup(F188,'Oil &amp; Gas Documents - Canada'!F:N,9,FALSE)</f>
        <v/>
      </c>
      <c r="E188" s="1" t="s">
        <v>685</v>
      </c>
      <c r="F188" s="1" t="s">
        <v>686</v>
      </c>
      <c r="G188" s="3"/>
      <c r="H188" s="4" t="str">
        <f>HYPERLINK("http://nimonikapp.com/legislations/116981","http://nimonikapp.com/legislations/116981")</f>
        <v>http://nimonikapp.com/legislations/116981</v>
      </c>
      <c r="I188" s="1" t="s">
        <v>18</v>
      </c>
      <c r="J188" s="1" t="s">
        <v>687</v>
      </c>
      <c r="K188" s="1" t="s">
        <v>688</v>
      </c>
      <c r="L188" s="5">
        <v>44607.0</v>
      </c>
      <c r="N188" s="5">
        <v>44614.0</v>
      </c>
    </row>
    <row r="189">
      <c r="A189" s="1" t="s">
        <v>202</v>
      </c>
      <c r="B189" s="1" t="s">
        <v>25</v>
      </c>
      <c r="C189" s="1" t="s">
        <v>26</v>
      </c>
      <c r="D189" s="1" t="str">
        <f>Vlookup(F189,'Oil &amp; Gas Documents - Canada'!F:N,9,FALSE)</f>
        <v>#N/A</v>
      </c>
      <c r="E189" s="1" t="s">
        <v>503</v>
      </c>
      <c r="F189" s="1" t="s">
        <v>504</v>
      </c>
      <c r="G189" s="2" t="s">
        <v>505</v>
      </c>
      <c r="H189" s="4" t="str">
        <f>HYPERLINK("http://nimonikapp.com/legislations/47","http://nimonikapp.com/legislations/47")</f>
        <v>http://nimonikapp.com/legislations/47</v>
      </c>
      <c r="I189" s="1" t="s">
        <v>18</v>
      </c>
      <c r="J189" s="1" t="s">
        <v>689</v>
      </c>
      <c r="K189" s="1" t="s">
        <v>690</v>
      </c>
      <c r="L189" s="5">
        <v>44616.0</v>
      </c>
      <c r="M189" s="5">
        <v>43647.0</v>
      </c>
      <c r="N189" s="5">
        <v>44608.0</v>
      </c>
    </row>
    <row r="190">
      <c r="A190" s="1" t="s">
        <v>21</v>
      </c>
      <c r="B190" s="1" t="s">
        <v>25</v>
      </c>
      <c r="C190" s="1" t="str">
        <f>Vlookup(F190,'Oil &amp; Gas Documents - Canada'!F:M,2,FALSE)</f>
        <v>general, oil_and_gas</v>
      </c>
      <c r="D190" s="1" t="str">
        <f>Vlookup(F190,'Oil &amp; Gas Documents - Canada'!F:N,9,FALSE)</f>
        <v/>
      </c>
      <c r="E190" s="1" t="s">
        <v>691</v>
      </c>
      <c r="F190" s="1" t="s">
        <v>692</v>
      </c>
      <c r="G190" s="2" t="s">
        <v>693</v>
      </c>
      <c r="H190" s="4" t="str">
        <f>HYPERLINK("http://nimonikapp.com/legislations/4129","http://nimonikapp.com/legislations/4129")</f>
        <v>http://nimonikapp.com/legislations/4129</v>
      </c>
      <c r="I190" s="1" t="s">
        <v>18</v>
      </c>
      <c r="J190" s="1" t="s">
        <v>694</v>
      </c>
      <c r="K190" s="1" t="s">
        <v>695</v>
      </c>
      <c r="L190" s="5">
        <v>44607.0</v>
      </c>
      <c r="M190" s="5">
        <v>44592.0</v>
      </c>
      <c r="N190" s="5">
        <v>44608.0</v>
      </c>
    </row>
    <row r="191">
      <c r="A191" s="1" t="s">
        <v>24</v>
      </c>
      <c r="B191" s="1" t="s">
        <v>25</v>
      </c>
      <c r="C191" s="1" t="str">
        <f>Vlookup(F191,'Oil &amp; Gas Documents - Canada'!F:M,2,FALSE)</f>
        <v>oil_and_gas</v>
      </c>
      <c r="D191" s="1" t="str">
        <f>Vlookup(F191,'Oil &amp; Gas Documents - Canada'!F:N,9,FALSE)</f>
        <v/>
      </c>
      <c r="E191" s="1" t="s">
        <v>696</v>
      </c>
      <c r="F191" s="1" t="s">
        <v>697</v>
      </c>
      <c r="G191" s="2" t="s">
        <v>698</v>
      </c>
      <c r="H191" s="4" t="str">
        <f t="shared" ref="H191:H192" si="6">HYPERLINK("http://nimonikapp.com/legislations/10240","http://nimonikapp.com/legislations/10240")</f>
        <v>http://nimonikapp.com/legislations/10240</v>
      </c>
      <c r="I191" s="1" t="s">
        <v>18</v>
      </c>
      <c r="J191" s="1" t="s">
        <v>699</v>
      </c>
      <c r="K191" s="1" t="s">
        <v>700</v>
      </c>
      <c r="L191" s="5">
        <v>44505.0</v>
      </c>
      <c r="M191" s="5">
        <v>44505.0</v>
      </c>
      <c r="N191" s="5">
        <v>44603.0</v>
      </c>
    </row>
    <row r="192">
      <c r="A192" s="1" t="s">
        <v>24</v>
      </c>
      <c r="B192" s="1" t="s">
        <v>25</v>
      </c>
      <c r="C192" s="1" t="str">
        <f>Vlookup(F192,'Oil &amp; Gas Documents - Canada'!F:M,2,FALSE)</f>
        <v>oil_and_gas</v>
      </c>
      <c r="D192" s="1" t="str">
        <f>Vlookup(F192,'Oil &amp; Gas Documents - Canada'!F:N,9,FALSE)</f>
        <v/>
      </c>
      <c r="E192" s="1" t="s">
        <v>696</v>
      </c>
      <c r="F192" s="1" t="s">
        <v>697</v>
      </c>
      <c r="G192" s="2" t="s">
        <v>698</v>
      </c>
      <c r="H192" s="4" t="str">
        <f t="shared" si="6"/>
        <v>http://nimonikapp.com/legislations/10240</v>
      </c>
      <c r="I192" s="1" t="s">
        <v>18</v>
      </c>
      <c r="J192" s="1" t="s">
        <v>701</v>
      </c>
      <c r="K192" s="1" t="s">
        <v>702</v>
      </c>
      <c r="L192" s="5">
        <v>44553.0</v>
      </c>
      <c r="M192" s="5">
        <v>44553.0</v>
      </c>
      <c r="N192" s="5">
        <v>44603.0</v>
      </c>
    </row>
    <row r="193">
      <c r="A193" s="1" t="s">
        <v>24</v>
      </c>
      <c r="B193" s="1" t="s">
        <v>25</v>
      </c>
      <c r="C193" s="1" t="str">
        <f>Vlookup(F193,'Oil &amp; Gas Documents - Canada'!F:M,2,FALSE)</f>
        <v>oil_and_gas</v>
      </c>
      <c r="D193" s="1" t="str">
        <f>Vlookup(F193,'Oil &amp; Gas Documents - Canada'!F:N,9,FALSE)</f>
        <v/>
      </c>
      <c r="E193" s="1" t="s">
        <v>703</v>
      </c>
      <c r="F193" s="1" t="s">
        <v>704</v>
      </c>
      <c r="G193" s="2" t="s">
        <v>705</v>
      </c>
      <c r="H193" s="4" t="str">
        <f>HYPERLINK("http://nimonikapp.com/legislations/129716","http://nimonikapp.com/legislations/129716")</f>
        <v>http://nimonikapp.com/legislations/129716</v>
      </c>
      <c r="I193" s="1" t="s">
        <v>18</v>
      </c>
      <c r="J193" s="1" t="s">
        <v>706</v>
      </c>
      <c r="K193" s="1" t="s">
        <v>707</v>
      </c>
      <c r="L193" s="5">
        <v>44504.0</v>
      </c>
      <c r="M193" s="5">
        <v>44504.0</v>
      </c>
      <c r="N193" s="5">
        <v>44603.0</v>
      </c>
    </row>
    <row r="194">
      <c r="A194" s="1" t="s">
        <v>24</v>
      </c>
      <c r="B194" s="1" t="s">
        <v>25</v>
      </c>
      <c r="C194" s="1" t="str">
        <f>Vlookup(F194,'Oil &amp; Gas Documents - Canada'!F:M,2,FALSE)</f>
        <v>oil_and_gas</v>
      </c>
      <c r="D194" s="1" t="str">
        <f>Vlookup(F194,'Oil &amp; Gas Documents - Canada'!F:N,9,FALSE)</f>
        <v/>
      </c>
      <c r="E194" s="1" t="s">
        <v>708</v>
      </c>
      <c r="F194" s="1" t="s">
        <v>709</v>
      </c>
      <c r="G194" s="2" t="s">
        <v>710</v>
      </c>
      <c r="H194" s="4" t="str">
        <f>HYPERLINK("http://nimonikapp.com/legislations/10261","http://nimonikapp.com/legislations/10261")</f>
        <v>http://nimonikapp.com/legislations/10261</v>
      </c>
      <c r="I194" s="1" t="s">
        <v>18</v>
      </c>
      <c r="J194" s="1" t="s">
        <v>711</v>
      </c>
      <c r="K194" s="1" t="s">
        <v>712</v>
      </c>
      <c r="L194" s="5">
        <v>44505.0</v>
      </c>
      <c r="M194" s="5">
        <v>44505.0</v>
      </c>
      <c r="N194" s="5">
        <v>44602.0</v>
      </c>
    </row>
    <row r="195">
      <c r="A195" s="1" t="s">
        <v>73</v>
      </c>
      <c r="B195" s="1" t="s">
        <v>15</v>
      </c>
      <c r="C195" s="1" t="s">
        <v>26</v>
      </c>
      <c r="D195" s="1" t="str">
        <f>Vlookup(F195,'Oil &amp; Gas Documents - Canada'!F:N,9,FALSE)</f>
        <v>#N/A</v>
      </c>
      <c r="E195" s="1" t="s">
        <v>713</v>
      </c>
      <c r="F195" s="1" t="s">
        <v>714</v>
      </c>
      <c r="G195" s="3"/>
      <c r="H195" s="4" t="str">
        <f>HYPERLINK("http://nimonikapp.com/legislations/324184","http://nimonikapp.com/legislations/324184")</f>
        <v>http://nimonikapp.com/legislations/324184</v>
      </c>
      <c r="I195" s="1" t="s">
        <v>516</v>
      </c>
      <c r="L195" s="5">
        <v>44599.0</v>
      </c>
      <c r="N195" s="5">
        <v>44600.0</v>
      </c>
    </row>
    <row r="196">
      <c r="A196" s="1" t="s">
        <v>202</v>
      </c>
      <c r="B196" s="1" t="s">
        <v>15</v>
      </c>
      <c r="C196" s="1" t="str">
        <f>Vlookup(F196,'Oil &amp; Gas Documents - Canada'!F:M,2,FALSE)</f>
        <v>oil_and_gas</v>
      </c>
      <c r="D196" s="1" t="str">
        <f>Vlookup(F196,'Oil &amp; Gas Documents - Canada'!F:N,9,FALSE)</f>
        <v/>
      </c>
      <c r="E196" s="1" t="s">
        <v>715</v>
      </c>
      <c r="F196" s="1" t="s">
        <v>716</v>
      </c>
      <c r="G196" s="3"/>
      <c r="H196" s="4" t="str">
        <f>HYPERLINK("http://nimonikapp.com/legislations/322228","http://nimonikapp.com/legislations/322228")</f>
        <v>http://nimonikapp.com/legislations/322228</v>
      </c>
      <c r="I196" s="1" t="s">
        <v>516</v>
      </c>
      <c r="L196" s="5">
        <v>44594.0</v>
      </c>
      <c r="N196" s="5">
        <v>44594.0</v>
      </c>
    </row>
    <row r="197">
      <c r="A197" s="1" t="s">
        <v>70</v>
      </c>
      <c r="B197" s="1" t="s">
        <v>15</v>
      </c>
      <c r="C197" s="1" t="str">
        <f>Vlookup(F197,'Oil &amp; Gas Documents - Canada'!F:M,2,FALSE)</f>
        <v>oil_and_gas, mining_and_minerals_industry</v>
      </c>
      <c r="D197" s="1" t="str">
        <f>Vlookup(F197,'Oil &amp; Gas Documents - Canada'!F:N,9,FALSE)</f>
        <v/>
      </c>
      <c r="E197" s="1" t="s">
        <v>717</v>
      </c>
      <c r="F197" s="1" t="s">
        <v>718</v>
      </c>
      <c r="G197" s="3"/>
      <c r="H197" s="4" t="str">
        <f>HYPERLINK("http://nimonikapp.com/legislations/319764","http://nimonikapp.com/legislations/319764")</f>
        <v>http://nimonikapp.com/legislations/319764</v>
      </c>
      <c r="I197" s="1" t="s">
        <v>516</v>
      </c>
      <c r="L197" s="5">
        <v>44572.0</v>
      </c>
      <c r="N197" s="5">
        <v>44574.0</v>
      </c>
    </row>
    <row r="198">
      <c r="A198" s="1" t="s">
        <v>70</v>
      </c>
      <c r="B198" s="1" t="s">
        <v>15</v>
      </c>
      <c r="C198" s="1" t="s">
        <v>26</v>
      </c>
      <c r="D198" s="1" t="str">
        <f>Vlookup(F198,'Oil &amp; Gas Documents - Canada'!F:N,9,FALSE)</f>
        <v>#N/A</v>
      </c>
      <c r="E198" s="1" t="s">
        <v>719</v>
      </c>
      <c r="F198" s="1" t="s">
        <v>720</v>
      </c>
      <c r="G198" s="3"/>
      <c r="H198" s="4" t="str">
        <f>HYPERLINK("http://nimonikapp.com/legislations/319444","http://nimonikapp.com/legislations/319444")</f>
        <v>http://nimonikapp.com/legislations/319444</v>
      </c>
      <c r="I198" s="1" t="s">
        <v>69</v>
      </c>
      <c r="L198" s="5">
        <v>44571.0</v>
      </c>
      <c r="N198" s="5">
        <v>44573.0</v>
      </c>
    </row>
    <row r="199">
      <c r="A199" s="1" t="s">
        <v>73</v>
      </c>
      <c r="B199" s="1" t="s">
        <v>25</v>
      </c>
      <c r="C199" s="1" t="str">
        <f>Vlookup(F199,'Oil &amp; Gas Documents - Canada'!F:M,2,FALSE)</f>
        <v>oil_and_gas</v>
      </c>
      <c r="D199" s="1" t="str">
        <f>Vlookup(F199,'Oil &amp; Gas Documents - Canada'!F:N,9,FALSE)</f>
        <v/>
      </c>
      <c r="E199" s="1" t="s">
        <v>721</v>
      </c>
      <c r="F199" s="1" t="s">
        <v>722</v>
      </c>
      <c r="G199" s="3"/>
      <c r="H199" s="4" t="str">
        <f>HYPERLINK("http://nimonikapp.com/legislations/133314","http://nimonikapp.com/legislations/133314")</f>
        <v>http://nimonikapp.com/legislations/133314</v>
      </c>
      <c r="I199" s="1" t="s">
        <v>18</v>
      </c>
      <c r="J199" s="1" t="s">
        <v>723</v>
      </c>
      <c r="K199" s="1" t="s">
        <v>724</v>
      </c>
      <c r="L199" s="5">
        <v>44566.0</v>
      </c>
      <c r="M199" s="5">
        <v>44551.0</v>
      </c>
      <c r="N199" s="5">
        <v>44573.0</v>
      </c>
    </row>
    <row r="200">
      <c r="A200" s="1" t="s">
        <v>202</v>
      </c>
      <c r="B200" s="1" t="s">
        <v>25</v>
      </c>
      <c r="C200" s="1" t="s">
        <v>26</v>
      </c>
      <c r="D200" s="1" t="str">
        <f>Vlookup(F200,'Oil &amp; Gas Documents - Canada'!F:N,9,FALSE)</f>
        <v>#N/A</v>
      </c>
      <c r="E200" s="1" t="s">
        <v>203</v>
      </c>
      <c r="F200" s="1" t="s">
        <v>204</v>
      </c>
      <c r="G200" s="2" t="s">
        <v>205</v>
      </c>
      <c r="H200" s="4" t="str">
        <f>HYPERLINK("http://nimonikapp.com/legislations/268535","http://nimonikapp.com/legislations/268535")</f>
        <v>http://nimonikapp.com/legislations/268535</v>
      </c>
      <c r="I200" s="1" t="s">
        <v>18</v>
      </c>
      <c r="J200" s="1" t="s">
        <v>725</v>
      </c>
      <c r="K200" s="1" t="s">
        <v>726</v>
      </c>
      <c r="L200" s="5">
        <v>44566.0</v>
      </c>
      <c r="M200" s="5">
        <v>44621.0</v>
      </c>
      <c r="N200" s="5">
        <v>44573.0</v>
      </c>
    </row>
    <row r="201">
      <c r="A201" s="1" t="s">
        <v>202</v>
      </c>
      <c r="B201" s="1" t="s">
        <v>25</v>
      </c>
      <c r="C201" s="1" t="s">
        <v>26</v>
      </c>
      <c r="D201" s="1" t="str">
        <f>Vlookup(F201,'Oil &amp; Gas Documents - Canada'!F:N,9,FALSE)</f>
        <v>#N/A</v>
      </c>
      <c r="E201" s="1" t="s">
        <v>727</v>
      </c>
      <c r="F201" s="1" t="s">
        <v>728</v>
      </c>
      <c r="G201" s="3"/>
      <c r="H201" s="4" t="str">
        <f>HYPERLINK("http://nimonikapp.com/legislations/1063","http://nimonikapp.com/legislations/1063")</f>
        <v>http://nimonikapp.com/legislations/1063</v>
      </c>
      <c r="I201" s="1" t="s">
        <v>18</v>
      </c>
      <c r="J201" s="1" t="s">
        <v>729</v>
      </c>
      <c r="K201" s="1" t="s">
        <v>730</v>
      </c>
      <c r="L201" s="5">
        <v>44556.0</v>
      </c>
      <c r="N201" s="5">
        <v>44572.0</v>
      </c>
    </row>
    <row r="202">
      <c r="A202" s="1" t="s">
        <v>202</v>
      </c>
      <c r="B202" s="1" t="s">
        <v>25</v>
      </c>
      <c r="C202" s="1" t="s">
        <v>26</v>
      </c>
      <c r="D202" s="1" t="str">
        <f>Vlookup(F202,'Oil &amp; Gas Documents - Canada'!F:N,9,FALSE)</f>
        <v>#N/A</v>
      </c>
      <c r="E202" s="1" t="s">
        <v>498</v>
      </c>
      <c r="F202" s="1" t="s">
        <v>499</v>
      </c>
      <c r="G202" s="2" t="s">
        <v>500</v>
      </c>
      <c r="H202" s="4" t="str">
        <f>HYPERLINK("http://nimonikapp.com/legislations/4229","http://nimonikapp.com/legislations/4229")</f>
        <v>http://nimonikapp.com/legislations/4229</v>
      </c>
      <c r="I202" s="1" t="s">
        <v>18</v>
      </c>
      <c r="J202" s="1" t="s">
        <v>731</v>
      </c>
      <c r="K202" s="1" t="s">
        <v>732</v>
      </c>
      <c r="L202" s="5">
        <v>44532.0</v>
      </c>
      <c r="M202" s="5">
        <v>44362.0</v>
      </c>
      <c r="N202" s="5">
        <v>44572.0</v>
      </c>
    </row>
    <row r="203">
      <c r="A203" s="1" t="s">
        <v>202</v>
      </c>
      <c r="B203" s="1" t="s">
        <v>25</v>
      </c>
      <c r="C203" s="1" t="s">
        <v>26</v>
      </c>
      <c r="D203" s="1" t="str">
        <f>Vlookup(F203,'Oil &amp; Gas Documents - Canada'!F:N,9,FALSE)</f>
        <v>#N/A</v>
      </c>
      <c r="E203" s="1" t="s">
        <v>733</v>
      </c>
      <c r="F203" s="1" t="s">
        <v>734</v>
      </c>
      <c r="G203" s="3"/>
      <c r="H203" s="4" t="str">
        <f>HYPERLINK("http://nimonikapp.com/legislations/933","http://nimonikapp.com/legislations/933")</f>
        <v>http://nimonikapp.com/legislations/933</v>
      </c>
      <c r="I203" s="1" t="s">
        <v>18</v>
      </c>
      <c r="J203" s="1" t="s">
        <v>731</v>
      </c>
      <c r="K203" s="1" t="s">
        <v>732</v>
      </c>
      <c r="L203" s="5">
        <v>44532.0</v>
      </c>
      <c r="M203" s="5">
        <v>44362.0</v>
      </c>
      <c r="N203" s="5">
        <v>44572.0</v>
      </c>
    </row>
    <row r="204">
      <c r="A204" s="1" t="s">
        <v>202</v>
      </c>
      <c r="B204" s="1" t="s">
        <v>25</v>
      </c>
      <c r="C204" s="1" t="s">
        <v>26</v>
      </c>
      <c r="D204" s="1" t="str">
        <f>Vlookup(F204,'Oil &amp; Gas Documents - Canada'!F:N,9,FALSE)</f>
        <v>#N/A</v>
      </c>
      <c r="E204" s="1" t="s">
        <v>727</v>
      </c>
      <c r="F204" s="1" t="s">
        <v>728</v>
      </c>
      <c r="G204" s="3"/>
      <c r="H204" s="4" t="str">
        <f t="shared" ref="H204:H205" si="7">HYPERLINK("http://nimonikapp.com/legislations/1063","http://nimonikapp.com/legislations/1063")</f>
        <v>http://nimonikapp.com/legislations/1063</v>
      </c>
      <c r="I204" s="1" t="s">
        <v>18</v>
      </c>
      <c r="J204" s="1" t="s">
        <v>731</v>
      </c>
      <c r="K204" s="1" t="s">
        <v>732</v>
      </c>
      <c r="L204" s="5">
        <v>44532.0</v>
      </c>
      <c r="M204" s="5">
        <v>44362.0</v>
      </c>
      <c r="N204" s="5">
        <v>44572.0</v>
      </c>
    </row>
    <row r="205">
      <c r="A205" s="1" t="s">
        <v>202</v>
      </c>
      <c r="B205" s="1" t="s">
        <v>25</v>
      </c>
      <c r="C205" s="1" t="s">
        <v>26</v>
      </c>
      <c r="D205" s="1" t="str">
        <f>Vlookup(F205,'Oil &amp; Gas Documents - Canada'!F:N,9,FALSE)</f>
        <v>#N/A</v>
      </c>
      <c r="E205" s="1" t="s">
        <v>727</v>
      </c>
      <c r="F205" s="1" t="s">
        <v>728</v>
      </c>
      <c r="G205" s="3"/>
      <c r="H205" s="4" t="str">
        <f t="shared" si="7"/>
        <v>http://nimonikapp.com/legislations/1063</v>
      </c>
      <c r="I205" s="1" t="s">
        <v>18</v>
      </c>
      <c r="J205" s="1" t="s">
        <v>735</v>
      </c>
      <c r="K205" s="1" t="s">
        <v>736</v>
      </c>
      <c r="L205" s="5">
        <v>44539.0</v>
      </c>
      <c r="M205" s="5">
        <v>44539.0</v>
      </c>
      <c r="N205" s="5">
        <v>44568.0</v>
      </c>
    </row>
    <row r="206">
      <c r="A206" s="1" t="s">
        <v>202</v>
      </c>
      <c r="B206" s="1" t="s">
        <v>25</v>
      </c>
      <c r="C206" s="1" t="s">
        <v>26</v>
      </c>
      <c r="D206" s="1" t="str">
        <f>Vlookup(F206,'Oil &amp; Gas Documents - Canada'!F:N,9,FALSE)</f>
        <v>#N/A</v>
      </c>
      <c r="E206" s="1" t="s">
        <v>372</v>
      </c>
      <c r="F206" s="1" t="s">
        <v>373</v>
      </c>
      <c r="G206" s="2" t="s">
        <v>374</v>
      </c>
      <c r="H206" s="4" t="str">
        <f>HYPERLINK("http://nimonikapp.com/legislations/1304","http://nimonikapp.com/legislations/1304")</f>
        <v>http://nimonikapp.com/legislations/1304</v>
      </c>
      <c r="I206" s="1" t="s">
        <v>18</v>
      </c>
      <c r="J206" s="1" t="s">
        <v>735</v>
      </c>
      <c r="K206" s="1" t="s">
        <v>736</v>
      </c>
      <c r="L206" s="5">
        <v>44539.0</v>
      </c>
      <c r="M206" s="5">
        <v>44539.0</v>
      </c>
      <c r="N206" s="5">
        <v>44568.0</v>
      </c>
    </row>
    <row r="207">
      <c r="A207" s="1" t="s">
        <v>99</v>
      </c>
      <c r="B207" s="1" t="s">
        <v>25</v>
      </c>
      <c r="C207" s="1" t="s">
        <v>26</v>
      </c>
      <c r="D207" s="1" t="str">
        <f>Vlookup(F207,'Oil &amp; Gas Documents - Canada'!F:N,9,FALSE)</f>
        <v>#N/A</v>
      </c>
      <c r="E207" s="1" t="s">
        <v>737</v>
      </c>
      <c r="F207" s="1" t="s">
        <v>738</v>
      </c>
      <c r="G207" s="3"/>
      <c r="H207" s="4" t="str">
        <f>HYPERLINK("http://nimonikapp.com/legislations/113693","http://nimonikapp.com/legislations/113693")</f>
        <v>http://nimonikapp.com/legislations/113693</v>
      </c>
      <c r="I207" s="1" t="s">
        <v>18</v>
      </c>
      <c r="J207" s="1" t="s">
        <v>739</v>
      </c>
      <c r="K207" s="1" t="s">
        <v>740</v>
      </c>
      <c r="L207" s="5">
        <v>44554.0</v>
      </c>
      <c r="M207" s="5">
        <v>44554.0</v>
      </c>
      <c r="N207" s="5">
        <v>44567.0</v>
      </c>
    </row>
    <row r="208">
      <c r="A208" s="1" t="s">
        <v>21</v>
      </c>
      <c r="B208" s="1" t="s">
        <v>25</v>
      </c>
      <c r="C208" s="1" t="str">
        <f>Vlookup(F208,'Oil &amp; Gas Documents - Canada'!F:M,2,FALSE)</f>
        <v>oil_and_gas, mining_and_minerals_industry</v>
      </c>
      <c r="D208" s="1" t="str">
        <f>Vlookup(F208,'Oil &amp; Gas Documents - Canada'!F:N,9,FALSE)</f>
        <v/>
      </c>
      <c r="E208" s="1" t="s">
        <v>741</v>
      </c>
      <c r="F208" s="1" t="s">
        <v>742</v>
      </c>
      <c r="G208" s="2" t="s">
        <v>743</v>
      </c>
      <c r="H208" s="4" t="str">
        <f>HYPERLINK("http://nimonikapp.com/legislations/1388","http://nimonikapp.com/legislations/1388")</f>
        <v>http://nimonikapp.com/legislations/1388</v>
      </c>
      <c r="I208" s="1" t="s">
        <v>18</v>
      </c>
      <c r="J208" s="1" t="s">
        <v>744</v>
      </c>
      <c r="K208" s="1" t="s">
        <v>745</v>
      </c>
      <c r="L208" s="5">
        <v>44545.0</v>
      </c>
      <c r="M208" s="5">
        <v>44531.0</v>
      </c>
      <c r="N208" s="5">
        <v>44566.0</v>
      </c>
    </row>
    <row r="209">
      <c r="A209" s="1" t="s">
        <v>21</v>
      </c>
      <c r="B209" s="1" t="s">
        <v>25</v>
      </c>
      <c r="C209" s="1" t="str">
        <f>Vlookup(F209,'Oil &amp; Gas Documents - Canada'!F:M,2,FALSE)</f>
        <v>oil_and_gas</v>
      </c>
      <c r="D209" s="1" t="str">
        <f>Vlookup(F209,'Oil &amp; Gas Documents - Canada'!F:N,9,FALSE)</f>
        <v/>
      </c>
      <c r="E209" s="1" t="s">
        <v>746</v>
      </c>
      <c r="F209" s="1" t="s">
        <v>747</v>
      </c>
      <c r="G209" s="2" t="s">
        <v>748</v>
      </c>
      <c r="H209" s="4" t="str">
        <f>HYPERLINK("http://nimonikapp.com/legislations/151436","http://nimonikapp.com/legislations/151436")</f>
        <v>http://nimonikapp.com/legislations/151436</v>
      </c>
      <c r="I209" s="1" t="s">
        <v>18</v>
      </c>
      <c r="J209" s="1" t="s">
        <v>749</v>
      </c>
      <c r="K209" s="1" t="s">
        <v>750</v>
      </c>
      <c r="L209" s="5">
        <v>44545.0</v>
      </c>
      <c r="M209" s="5">
        <v>44531.0</v>
      </c>
      <c r="N209" s="5">
        <v>44566.0</v>
      </c>
    </row>
    <row r="210">
      <c r="A210" s="1" t="s">
        <v>21</v>
      </c>
      <c r="B210" s="1" t="s">
        <v>25</v>
      </c>
      <c r="C210" s="1" t="str">
        <f>Vlookup(F210,'Oil &amp; Gas Documents - Canada'!F:M,2,FALSE)</f>
        <v>general, oil_and_gas, mining_and_minerals_industry</v>
      </c>
      <c r="D210" s="1" t="str">
        <f>Vlookup(F210,'Oil &amp; Gas Documents - Canada'!F:N,9,FALSE)</f>
        <v/>
      </c>
      <c r="E210" s="1" t="s">
        <v>751</v>
      </c>
      <c r="F210" s="1" t="s">
        <v>752</v>
      </c>
      <c r="G210" s="2" t="s">
        <v>753</v>
      </c>
      <c r="H210" s="4" t="str">
        <f>HYPERLINK("http://nimonikapp.com/legislations/3918","http://nimonikapp.com/legislations/3918")</f>
        <v>http://nimonikapp.com/legislations/3918</v>
      </c>
      <c r="I210" s="1" t="s">
        <v>18</v>
      </c>
      <c r="J210" s="1" t="s">
        <v>754</v>
      </c>
      <c r="K210" s="1" t="s">
        <v>755</v>
      </c>
      <c r="L210" s="5">
        <v>44561.0</v>
      </c>
      <c r="N210" s="5">
        <v>44566.0</v>
      </c>
    </row>
    <row r="211">
      <c r="A211" s="1" t="s">
        <v>21</v>
      </c>
      <c r="B211" s="1" t="s">
        <v>25</v>
      </c>
      <c r="C211" s="1" t="str">
        <f>Vlookup(F211,'Oil &amp; Gas Documents - Canada'!F:M,2,FALSE)</f>
        <v>general, oil_and_gas</v>
      </c>
      <c r="D211" s="1" t="str">
        <f>Vlookup(F211,'Oil &amp; Gas Documents - Canada'!F:N,9,FALSE)</f>
        <v/>
      </c>
      <c r="E211" s="1" t="s">
        <v>86</v>
      </c>
      <c r="F211" s="1" t="s">
        <v>756</v>
      </c>
      <c r="G211" s="3"/>
      <c r="H211" s="4" t="str">
        <f>HYPERLINK("http://nimonikapp.com/legislations/4036","http://nimonikapp.com/legislations/4036")</f>
        <v>http://nimonikapp.com/legislations/4036</v>
      </c>
      <c r="I211" s="1" t="s">
        <v>18</v>
      </c>
      <c r="J211" s="1" t="s">
        <v>754</v>
      </c>
      <c r="K211" s="1" t="s">
        <v>755</v>
      </c>
      <c r="L211" s="5">
        <v>44561.0</v>
      </c>
      <c r="N211" s="5">
        <v>44566.0</v>
      </c>
    </row>
    <row r="212">
      <c r="A212" s="1" t="s">
        <v>21</v>
      </c>
      <c r="B212" s="1" t="s">
        <v>25</v>
      </c>
      <c r="C212" s="1" t="str">
        <f>Vlookup(F212,'Oil &amp; Gas Documents - Canada'!F:M,2,FALSE)</f>
        <v>oil_and_gas</v>
      </c>
      <c r="D212" s="1" t="str">
        <f>Vlookup(F212,'Oil &amp; Gas Documents - Canada'!F:N,9,FALSE)</f>
        <v/>
      </c>
      <c r="E212" s="1" t="s">
        <v>757</v>
      </c>
      <c r="F212" s="1" t="s">
        <v>758</v>
      </c>
      <c r="G212" s="2" t="s">
        <v>759</v>
      </c>
      <c r="H212" s="4" t="str">
        <f>HYPERLINK("http://nimonikapp.com/legislations/660","http://nimonikapp.com/legislations/660")</f>
        <v>http://nimonikapp.com/legislations/660</v>
      </c>
      <c r="I212" s="1" t="s">
        <v>18</v>
      </c>
      <c r="J212" s="1" t="s">
        <v>754</v>
      </c>
      <c r="K212" s="1" t="s">
        <v>755</v>
      </c>
      <c r="L212" s="5">
        <v>44561.0</v>
      </c>
      <c r="N212" s="5">
        <v>44566.0</v>
      </c>
    </row>
    <row r="213">
      <c r="A213" s="1" t="s">
        <v>21</v>
      </c>
      <c r="B213" s="1" t="s">
        <v>25</v>
      </c>
      <c r="C213" s="1" t="str">
        <f>Vlookup(F213,'Oil &amp; Gas Documents - Canada'!F:M,2,FALSE)</f>
        <v>oil_and_gas, utilities_and_communications</v>
      </c>
      <c r="D213" s="1" t="str">
        <f>Vlookup(F213,'Oil &amp; Gas Documents - Canada'!F:N,9,FALSE)</f>
        <v/>
      </c>
      <c r="E213" s="1" t="s">
        <v>760</v>
      </c>
      <c r="F213" s="1" t="s">
        <v>761</v>
      </c>
      <c r="G213" s="2" t="s">
        <v>762</v>
      </c>
      <c r="H213" s="4" t="str">
        <f>HYPERLINK("http://nimonikapp.com/legislations/276242","http://nimonikapp.com/legislations/276242")</f>
        <v>http://nimonikapp.com/legislations/276242</v>
      </c>
      <c r="I213" s="1" t="s">
        <v>52</v>
      </c>
      <c r="J213" s="1" t="s">
        <v>754</v>
      </c>
      <c r="K213" s="1" t="s">
        <v>755</v>
      </c>
      <c r="L213" s="5">
        <v>44561.0</v>
      </c>
      <c r="N213" s="5">
        <v>44566.0</v>
      </c>
    </row>
    <row r="214">
      <c r="A214" s="1" t="s">
        <v>21</v>
      </c>
      <c r="B214" s="1" t="s">
        <v>25</v>
      </c>
      <c r="C214" s="1" t="str">
        <f>Vlookup(F214,'Oil &amp; Gas Documents - Canada'!F:M,2,FALSE)</f>
        <v>general, oil_and_gas, mining_and_minerals_industry</v>
      </c>
      <c r="D214" s="1" t="str">
        <f>Vlookup(F214,'Oil &amp; Gas Documents - Canada'!F:N,9,FALSE)</f>
        <v/>
      </c>
      <c r="E214" s="1" t="s">
        <v>763</v>
      </c>
      <c r="F214" s="1" t="s">
        <v>764</v>
      </c>
      <c r="G214" s="3"/>
      <c r="H214" s="4" t="str">
        <f>HYPERLINK("http://nimonikapp.com/legislations/3992","http://nimonikapp.com/legislations/3992")</f>
        <v>http://nimonikapp.com/legislations/3992</v>
      </c>
      <c r="I214" s="1" t="s">
        <v>18</v>
      </c>
      <c r="J214" s="1" t="s">
        <v>765</v>
      </c>
      <c r="K214" s="1" t="s">
        <v>766</v>
      </c>
      <c r="L214" s="5">
        <v>44561.0</v>
      </c>
      <c r="M214" s="5">
        <v>44562.0</v>
      </c>
      <c r="N214" s="5">
        <v>44566.0</v>
      </c>
    </row>
    <row r="215">
      <c r="A215" s="1" t="s">
        <v>21</v>
      </c>
      <c r="B215" s="1" t="s">
        <v>25</v>
      </c>
      <c r="C215" s="1" t="str">
        <f>Vlookup(F215,'Oil &amp; Gas Documents - Canada'!F:M,2,FALSE)</f>
        <v>general, oil_and_gas, mining_and_minerals_industry</v>
      </c>
      <c r="D215" s="1" t="str">
        <f>Vlookup(F215,'Oil &amp; Gas Documents - Canada'!F:N,9,FALSE)</f>
        <v/>
      </c>
      <c r="E215" s="1" t="s">
        <v>637</v>
      </c>
      <c r="F215" s="1" t="s">
        <v>638</v>
      </c>
      <c r="G215" s="3"/>
      <c r="H215" s="4" t="str">
        <f>HYPERLINK("http://nimonikapp.com/legislations/4100","http://nimonikapp.com/legislations/4100")</f>
        <v>http://nimonikapp.com/legislations/4100</v>
      </c>
      <c r="I215" s="1" t="s">
        <v>18</v>
      </c>
      <c r="J215" s="1" t="s">
        <v>767</v>
      </c>
      <c r="K215" s="1" t="s">
        <v>640</v>
      </c>
      <c r="L215" s="5">
        <v>44561.0</v>
      </c>
      <c r="M215" s="5">
        <v>44562.0</v>
      </c>
      <c r="N215" s="5">
        <v>44566.0</v>
      </c>
    </row>
    <row r="216">
      <c r="A216" s="1" t="s">
        <v>70</v>
      </c>
      <c r="B216" s="1" t="s">
        <v>25</v>
      </c>
      <c r="C216" s="1" t="str">
        <f>Vlookup(F216,'Oil &amp; Gas Documents - Canada'!F:M,2,FALSE)</f>
        <v>general, oil_and_gas</v>
      </c>
      <c r="D216" s="1" t="str">
        <f>Vlookup(F216,'Oil &amp; Gas Documents - Canada'!F:N,9,FALSE)</f>
        <v/>
      </c>
      <c r="E216" s="1" t="s">
        <v>768</v>
      </c>
      <c r="F216" s="1" t="s">
        <v>769</v>
      </c>
      <c r="G216" s="2" t="s">
        <v>770</v>
      </c>
      <c r="H216" s="4" t="str">
        <f>HYPERLINK("http://nimonikapp.com/legislations/1267","http://nimonikapp.com/legislations/1267")</f>
        <v>http://nimonikapp.com/legislations/1267</v>
      </c>
      <c r="I216" s="1" t="s">
        <v>18</v>
      </c>
      <c r="J216" s="1" t="s">
        <v>771</v>
      </c>
      <c r="K216" s="1" t="s">
        <v>772</v>
      </c>
      <c r="L216" s="5">
        <v>44569.0</v>
      </c>
      <c r="M216" s="5">
        <v>44562.0</v>
      </c>
      <c r="N216" s="5">
        <v>44565.0</v>
      </c>
    </row>
    <row r="217">
      <c r="A217" s="1" t="s">
        <v>14</v>
      </c>
      <c r="B217" s="1" t="s">
        <v>25</v>
      </c>
      <c r="C217" s="1" t="s">
        <v>26</v>
      </c>
      <c r="D217" s="1" t="str">
        <f>Vlookup(F217,'Oil &amp; Gas Documents - Canada'!F:N,9,FALSE)</f>
        <v>#N/A</v>
      </c>
      <c r="E217" s="1" t="s">
        <v>773</v>
      </c>
      <c r="F217" s="1" t="s">
        <v>774</v>
      </c>
      <c r="G217" s="2" t="s">
        <v>775</v>
      </c>
      <c r="H217" s="4" t="str">
        <f>HYPERLINK("http://nimonikapp.com/legislations/113801","http://nimonikapp.com/legislations/113801")</f>
        <v>http://nimonikapp.com/legislations/113801</v>
      </c>
      <c r="I217" s="1" t="s">
        <v>18</v>
      </c>
      <c r="J217" s="1" t="s">
        <v>776</v>
      </c>
      <c r="K217" s="1" t="s">
        <v>777</v>
      </c>
      <c r="L217" s="5">
        <v>44554.0</v>
      </c>
      <c r="M217" s="5">
        <v>44543.0</v>
      </c>
      <c r="N217" s="5">
        <v>44564.0</v>
      </c>
    </row>
    <row r="218">
      <c r="A218" s="1" t="s">
        <v>53</v>
      </c>
      <c r="B218" s="1" t="s">
        <v>25</v>
      </c>
      <c r="C218" s="1" t="str">
        <f>Vlookup(F218,'Oil &amp; Gas Documents - Canada'!F:M,2,FALSE)</f>
        <v>oil_and_gas</v>
      </c>
      <c r="D218" s="1" t="str">
        <f>Vlookup(F218,'Oil &amp; Gas Documents - Canada'!F:N,9,FALSE)</f>
        <v/>
      </c>
      <c r="E218" s="1" t="s">
        <v>778</v>
      </c>
      <c r="F218" s="1" t="s">
        <v>779</v>
      </c>
      <c r="G218" s="2" t="s">
        <v>780</v>
      </c>
      <c r="H218" s="4" t="str">
        <f>HYPERLINK("http://nimonikapp.com/legislations/314877","http://nimonikapp.com/legislations/314877")</f>
        <v>http://nimonikapp.com/legislations/314877</v>
      </c>
      <c r="I218" s="1" t="s">
        <v>18</v>
      </c>
      <c r="J218" s="1" t="s">
        <v>781</v>
      </c>
      <c r="K218" s="1" t="s">
        <v>782</v>
      </c>
      <c r="L218" s="5">
        <v>44561.0</v>
      </c>
      <c r="M218" s="5">
        <v>44547.0</v>
      </c>
      <c r="N218" s="5">
        <v>44564.0</v>
      </c>
    </row>
    <row r="219">
      <c r="A219" s="1" t="s">
        <v>221</v>
      </c>
      <c r="B219" s="1" t="s">
        <v>25</v>
      </c>
      <c r="C219" s="1" t="str">
        <f>Vlookup(F219,'Oil &amp; Gas Documents - Canada'!F:M,2,FALSE)</f>
        <v>oil_and_gas</v>
      </c>
      <c r="D219" s="1" t="str">
        <f>Vlookup(F219,'Oil &amp; Gas Documents - Canada'!F:N,9,FALSE)</f>
        <v/>
      </c>
      <c r="E219" s="1" t="s">
        <v>685</v>
      </c>
      <c r="F219" s="1" t="s">
        <v>686</v>
      </c>
      <c r="G219" s="3"/>
      <c r="H219" s="4" t="str">
        <f>HYPERLINK("http://nimonikapp.com/legislations/116981","http://nimonikapp.com/legislations/116981")</f>
        <v>http://nimonikapp.com/legislations/116981</v>
      </c>
      <c r="I219" s="1" t="s">
        <v>18</v>
      </c>
      <c r="J219" s="1" t="s">
        <v>783</v>
      </c>
      <c r="K219" s="1" t="s">
        <v>784</v>
      </c>
      <c r="L219" s="5">
        <v>44336.0</v>
      </c>
      <c r="M219" s="5">
        <v>44618.0</v>
      </c>
      <c r="N219" s="5">
        <v>44351.0</v>
      </c>
    </row>
    <row r="220">
      <c r="A220" s="1" t="s">
        <v>21</v>
      </c>
      <c r="B220" s="1" t="s">
        <v>364</v>
      </c>
      <c r="C220" s="1" t="str">
        <f>Vlookup(F220,'Oil &amp; Gas Documents - Canada'!F:M,2,FALSE)</f>
        <v>general, oil_and_gas, mining_and_minerals_industry</v>
      </c>
      <c r="D220" s="1" t="str">
        <f>Vlookup(F220,'Oil &amp; Gas Documents - Canada'!F:N,9,FALSE)</f>
        <v/>
      </c>
      <c r="E220" s="1" t="s">
        <v>785</v>
      </c>
      <c r="F220" s="1" t="s">
        <v>786</v>
      </c>
      <c r="G220" s="3"/>
      <c r="H220" s="4" t="str">
        <f>HYPERLINK("http://nimonikapp.com/legislations/4107","http://nimonikapp.com/legislations/4107")</f>
        <v>http://nimonikapp.com/legislations/4107</v>
      </c>
      <c r="I220" s="1" t="s">
        <v>356</v>
      </c>
      <c r="J220" s="1" t="s">
        <v>787</v>
      </c>
      <c r="K220" s="1" t="s">
        <v>785</v>
      </c>
      <c r="L220" s="5">
        <v>44293.0</v>
      </c>
      <c r="M220" s="5">
        <v>44562.0</v>
      </c>
      <c r="N220" s="5">
        <v>44350.0</v>
      </c>
    </row>
    <row r="221">
      <c r="A221" s="1" t="s">
        <v>73</v>
      </c>
      <c r="B221" s="1" t="s">
        <v>25</v>
      </c>
      <c r="C221" s="1" t="str">
        <f>Vlookup(F221,'Oil &amp; Gas Documents - Canada'!F:M,2,FALSE)</f>
        <v>oil_and_gas, mining_and_minerals_industry, rail_transportation</v>
      </c>
      <c r="D221" s="1" t="str">
        <f>Vlookup(F221,'Oil &amp; Gas Documents - Canada'!F:N,9,FALSE)</f>
        <v/>
      </c>
      <c r="E221" s="1" t="s">
        <v>788</v>
      </c>
      <c r="F221" s="1" t="s">
        <v>789</v>
      </c>
      <c r="G221" s="2" t="s">
        <v>790</v>
      </c>
      <c r="H221" s="4" t="str">
        <f>HYPERLINK("http://nimonikapp.com/legislations/4281","http://nimonikapp.com/legislations/4281")</f>
        <v>http://nimonikapp.com/legislations/4281</v>
      </c>
      <c r="I221" s="1" t="s">
        <v>18</v>
      </c>
      <c r="J221" s="1" t="s">
        <v>791</v>
      </c>
      <c r="K221" s="1" t="s">
        <v>792</v>
      </c>
      <c r="L221" s="5">
        <v>44076.0</v>
      </c>
      <c r="M221" s="5">
        <v>44806.0</v>
      </c>
      <c r="N221" s="5">
        <v>44088.0</v>
      </c>
    </row>
    <row r="222">
      <c r="A222" s="1" t="s">
        <v>14</v>
      </c>
      <c r="B222" s="1" t="s">
        <v>25</v>
      </c>
      <c r="C222" s="1" t="s">
        <v>26</v>
      </c>
      <c r="D222" s="1" t="str">
        <f>Vlookup(F222,'Oil &amp; Gas Documents - Canada'!F:N,9,FALSE)</f>
        <v>#N/A</v>
      </c>
      <c r="E222" s="1" t="s">
        <v>793</v>
      </c>
      <c r="F222" s="1" t="s">
        <v>794</v>
      </c>
      <c r="G222" s="3"/>
      <c r="H222" s="4" t="str">
        <f>HYPERLINK("http://nimonikapp.com/legislations/118473","http://nimonikapp.com/legislations/118473")</f>
        <v>http://nimonikapp.com/legislations/118473</v>
      </c>
      <c r="I222" s="1" t="s">
        <v>18</v>
      </c>
      <c r="J222" s="1" t="s">
        <v>795</v>
      </c>
      <c r="K222" s="1" t="s">
        <v>796</v>
      </c>
      <c r="L222" s="5">
        <v>44015.0</v>
      </c>
      <c r="M222" s="5">
        <v>44562.0</v>
      </c>
      <c r="N222" s="5">
        <v>44083.0</v>
      </c>
    </row>
    <row r="223">
      <c r="A223" s="1" t="s">
        <v>14</v>
      </c>
      <c r="B223" s="1" t="s">
        <v>25</v>
      </c>
      <c r="C223" s="1" t="str">
        <f>Vlookup(F223,'Oil &amp; Gas Documents - Canada'!F:M,2,FALSE)</f>
        <v>oil_and_gas</v>
      </c>
      <c r="D223" s="1" t="str">
        <f>Vlookup(F223,'Oil &amp; Gas Documents - Canada'!F:N,9,FALSE)</f>
        <v/>
      </c>
      <c r="E223" s="1" t="s">
        <v>797</v>
      </c>
      <c r="F223" s="1" t="s">
        <v>798</v>
      </c>
      <c r="G223" s="2" t="s">
        <v>799</v>
      </c>
      <c r="H223" s="4" t="str">
        <f>HYPERLINK("http://nimonikapp.com/legislations/792","http://nimonikapp.com/legislations/792")</f>
        <v>http://nimonikapp.com/legislations/792</v>
      </c>
      <c r="I223" s="1" t="s">
        <v>18</v>
      </c>
      <c r="J223" s="1" t="s">
        <v>795</v>
      </c>
      <c r="K223" s="1" t="s">
        <v>796</v>
      </c>
      <c r="L223" s="5">
        <v>44015.0</v>
      </c>
      <c r="M223" s="5">
        <v>44562.0</v>
      </c>
      <c r="N223" s="5">
        <v>44083.0</v>
      </c>
    </row>
    <row r="224">
      <c r="A224" s="1" t="s">
        <v>14</v>
      </c>
      <c r="B224" s="1" t="s">
        <v>25</v>
      </c>
      <c r="C224" s="1" t="str">
        <f>Vlookup(F224,'Oil &amp; Gas Documents - Canada'!F:M,2,FALSE)</f>
        <v>general, oil_and_gas, road_transportation, construction, printing_and_pulp_and_paper</v>
      </c>
      <c r="D224" s="1" t="str">
        <f>Vlookup(F224,'Oil &amp; Gas Documents - Canada'!F:N,9,FALSE)</f>
        <v/>
      </c>
      <c r="E224" s="1" t="s">
        <v>800</v>
      </c>
      <c r="F224" s="1" t="s">
        <v>801</v>
      </c>
      <c r="G224" s="2" t="s">
        <v>802</v>
      </c>
      <c r="H224" s="4" t="str">
        <f>HYPERLINK("http://nimonikapp.com/legislations/4128","http://nimonikapp.com/legislations/4128")</f>
        <v>http://nimonikapp.com/legislations/4128</v>
      </c>
      <c r="I224" s="1" t="s">
        <v>18</v>
      </c>
      <c r="J224" s="1" t="s">
        <v>803</v>
      </c>
      <c r="K224" s="1" t="s">
        <v>804</v>
      </c>
      <c r="L224" s="5">
        <v>43600.0</v>
      </c>
      <c r="M224" s="5">
        <v>44562.0</v>
      </c>
      <c r="N224" s="5">
        <v>43607.0</v>
      </c>
    </row>
    <row r="225">
      <c r="G225" s="3"/>
    </row>
    <row r="226">
      <c r="G226" s="3"/>
    </row>
    <row r="227">
      <c r="G227" s="3"/>
    </row>
    <row r="228">
      <c r="G228" s="3"/>
    </row>
    <row r="229">
      <c r="G229" s="3"/>
    </row>
    <row r="230">
      <c r="G230" s="3"/>
    </row>
    <row r="231">
      <c r="G231" s="3"/>
    </row>
    <row r="232">
      <c r="G232" s="3"/>
    </row>
    <row r="233">
      <c r="G233" s="3"/>
    </row>
    <row r="234">
      <c r="G234" s="3"/>
    </row>
    <row r="235">
      <c r="G235" s="3"/>
    </row>
    <row r="236">
      <c r="G236" s="3"/>
    </row>
    <row r="237">
      <c r="G237" s="3"/>
    </row>
    <row r="238">
      <c r="G238" s="3"/>
    </row>
    <row r="239">
      <c r="G239" s="3"/>
    </row>
    <row r="240">
      <c r="G240" s="3"/>
    </row>
    <row r="241">
      <c r="G241" s="3"/>
    </row>
    <row r="242">
      <c r="G242" s="3"/>
    </row>
    <row r="243">
      <c r="G243" s="3"/>
    </row>
    <row r="244">
      <c r="G244" s="3"/>
    </row>
    <row r="245">
      <c r="G245" s="3"/>
    </row>
    <row r="246">
      <c r="G246" s="3"/>
    </row>
    <row r="247">
      <c r="G247" s="3"/>
    </row>
    <row r="248">
      <c r="G248" s="3"/>
    </row>
    <row r="249">
      <c r="G249" s="3"/>
    </row>
    <row r="250">
      <c r="G250" s="3"/>
    </row>
    <row r="251">
      <c r="G251" s="3"/>
    </row>
    <row r="252">
      <c r="G252" s="3"/>
    </row>
    <row r="253">
      <c r="G253" s="3"/>
    </row>
    <row r="254">
      <c r="G254" s="3"/>
    </row>
    <row r="255">
      <c r="G255" s="3"/>
    </row>
    <row r="256">
      <c r="G256" s="3"/>
    </row>
    <row r="257">
      <c r="G257" s="3"/>
    </row>
    <row r="258">
      <c r="G258" s="3"/>
    </row>
    <row r="259">
      <c r="G259" s="3"/>
    </row>
    <row r="260">
      <c r="G260" s="3"/>
    </row>
    <row r="261">
      <c r="G261" s="3"/>
    </row>
    <row r="262">
      <c r="G262" s="3"/>
    </row>
    <row r="263">
      <c r="G263" s="3"/>
    </row>
    <row r="264">
      <c r="G264" s="3"/>
    </row>
    <row r="265">
      <c r="G265" s="3"/>
    </row>
    <row r="266">
      <c r="G266" s="3"/>
    </row>
    <row r="267">
      <c r="G267" s="3"/>
    </row>
    <row r="268">
      <c r="G268" s="3"/>
    </row>
    <row r="269">
      <c r="G269" s="3"/>
    </row>
    <row r="270">
      <c r="G270" s="3"/>
    </row>
    <row r="271">
      <c r="G271" s="3"/>
    </row>
    <row r="272">
      <c r="G272" s="3"/>
    </row>
    <row r="273">
      <c r="G273" s="3"/>
    </row>
    <row r="274">
      <c r="G274" s="3"/>
    </row>
    <row r="275">
      <c r="G275" s="3"/>
    </row>
    <row r="276">
      <c r="G276" s="3"/>
    </row>
    <row r="277">
      <c r="G277" s="3"/>
    </row>
    <row r="278">
      <c r="G278" s="3"/>
    </row>
    <row r="279">
      <c r="G279" s="3"/>
    </row>
    <row r="280">
      <c r="G280" s="3"/>
    </row>
    <row r="281">
      <c r="G281" s="3"/>
    </row>
    <row r="282">
      <c r="G282" s="3"/>
    </row>
    <row r="283">
      <c r="G283" s="3"/>
    </row>
    <row r="284">
      <c r="G284" s="3"/>
    </row>
    <row r="285">
      <c r="G285" s="3"/>
    </row>
    <row r="286">
      <c r="G286" s="3"/>
    </row>
    <row r="287">
      <c r="G287" s="3"/>
    </row>
    <row r="288">
      <c r="G288" s="3"/>
    </row>
    <row r="289">
      <c r="G289" s="3"/>
    </row>
    <row r="290">
      <c r="G290" s="3"/>
    </row>
    <row r="291">
      <c r="G291" s="3"/>
    </row>
    <row r="292">
      <c r="G292" s="3"/>
    </row>
    <row r="293">
      <c r="G293" s="3"/>
    </row>
    <row r="294">
      <c r="G294" s="3"/>
    </row>
    <row r="295">
      <c r="G295" s="3"/>
    </row>
    <row r="296">
      <c r="G296" s="3"/>
    </row>
    <row r="297">
      <c r="G297" s="3"/>
    </row>
    <row r="298">
      <c r="G298" s="3"/>
    </row>
    <row r="299">
      <c r="G299" s="3"/>
    </row>
    <row r="300">
      <c r="G300" s="3"/>
    </row>
    <row r="301">
      <c r="G301" s="3"/>
    </row>
    <row r="302">
      <c r="G302" s="3"/>
    </row>
    <row r="303">
      <c r="G303" s="3"/>
    </row>
    <row r="304">
      <c r="G304" s="3"/>
    </row>
    <row r="305">
      <c r="G305" s="3"/>
    </row>
    <row r="306">
      <c r="G306" s="3"/>
    </row>
    <row r="307">
      <c r="G307" s="3"/>
    </row>
    <row r="308">
      <c r="G308" s="3"/>
    </row>
    <row r="309">
      <c r="G309" s="3"/>
    </row>
    <row r="310">
      <c r="G310" s="3"/>
    </row>
    <row r="311">
      <c r="G311" s="3"/>
    </row>
    <row r="312">
      <c r="G312" s="3"/>
    </row>
    <row r="313">
      <c r="G313" s="3"/>
    </row>
    <row r="314">
      <c r="G314" s="3"/>
    </row>
    <row r="315">
      <c r="G315" s="3"/>
    </row>
    <row r="316">
      <c r="G316" s="3"/>
    </row>
    <row r="317">
      <c r="G317" s="3"/>
    </row>
    <row r="318">
      <c r="G318" s="3"/>
    </row>
    <row r="319">
      <c r="G319" s="3"/>
    </row>
    <row r="320">
      <c r="G320" s="3"/>
    </row>
    <row r="321">
      <c r="G321" s="3"/>
    </row>
    <row r="322">
      <c r="G322" s="3"/>
    </row>
    <row r="323">
      <c r="G323" s="3"/>
    </row>
    <row r="324">
      <c r="G324" s="3"/>
    </row>
    <row r="325">
      <c r="G325" s="3"/>
    </row>
    <row r="326">
      <c r="G326" s="3"/>
    </row>
    <row r="327">
      <c r="G327" s="3"/>
    </row>
    <row r="328">
      <c r="G328" s="3"/>
    </row>
    <row r="329">
      <c r="G329" s="3"/>
    </row>
    <row r="330">
      <c r="G330" s="3"/>
    </row>
    <row r="331">
      <c r="G331" s="3"/>
    </row>
    <row r="332">
      <c r="G332" s="3"/>
    </row>
    <row r="333">
      <c r="G333" s="3"/>
    </row>
    <row r="334">
      <c r="G334" s="3"/>
    </row>
    <row r="335">
      <c r="G335" s="3"/>
    </row>
    <row r="336">
      <c r="G336" s="3"/>
    </row>
    <row r="337">
      <c r="G337" s="3"/>
    </row>
    <row r="338">
      <c r="G338" s="3"/>
    </row>
    <row r="339">
      <c r="G339" s="3"/>
    </row>
    <row r="340">
      <c r="G340" s="3"/>
    </row>
    <row r="341">
      <c r="G341" s="3"/>
    </row>
    <row r="342">
      <c r="G342" s="3"/>
    </row>
    <row r="343">
      <c r="G343" s="3"/>
    </row>
    <row r="344">
      <c r="G344" s="3"/>
    </row>
    <row r="345">
      <c r="G345" s="3"/>
    </row>
    <row r="346">
      <c r="G346" s="3"/>
    </row>
    <row r="347">
      <c r="G347" s="3"/>
    </row>
    <row r="348">
      <c r="G348" s="3"/>
    </row>
    <row r="349">
      <c r="G349" s="3"/>
    </row>
    <row r="350">
      <c r="G350" s="3"/>
    </row>
    <row r="351">
      <c r="G351" s="3"/>
    </row>
    <row r="352">
      <c r="G352" s="3"/>
    </row>
    <row r="353">
      <c r="G353" s="3"/>
    </row>
    <row r="354">
      <c r="G354" s="3"/>
    </row>
    <row r="355">
      <c r="G355" s="3"/>
    </row>
    <row r="356">
      <c r="G356" s="3"/>
    </row>
    <row r="357">
      <c r="G357" s="3"/>
    </row>
    <row r="358">
      <c r="G358" s="3"/>
    </row>
    <row r="359">
      <c r="G359" s="3"/>
    </row>
    <row r="360">
      <c r="G360" s="3"/>
    </row>
    <row r="361">
      <c r="G361" s="3"/>
    </row>
    <row r="362">
      <c r="G362" s="3"/>
    </row>
    <row r="363">
      <c r="G363" s="3"/>
    </row>
    <row r="364">
      <c r="G364" s="3"/>
    </row>
    <row r="365">
      <c r="G365" s="3"/>
    </row>
    <row r="366">
      <c r="G366" s="3"/>
    </row>
    <row r="367">
      <c r="G367" s="3"/>
    </row>
    <row r="368">
      <c r="G368" s="3"/>
    </row>
    <row r="369">
      <c r="G369" s="3"/>
    </row>
    <row r="370">
      <c r="G370" s="3"/>
    </row>
    <row r="371">
      <c r="G371" s="3"/>
    </row>
    <row r="372">
      <c r="G372" s="3"/>
    </row>
    <row r="373">
      <c r="G373" s="3"/>
    </row>
    <row r="374">
      <c r="G374" s="3"/>
    </row>
    <row r="375">
      <c r="G375" s="3"/>
    </row>
    <row r="376">
      <c r="G376" s="3"/>
    </row>
    <row r="377">
      <c r="G377" s="3"/>
    </row>
    <row r="378">
      <c r="G378" s="3"/>
    </row>
    <row r="379">
      <c r="G379" s="3"/>
    </row>
    <row r="380">
      <c r="G380" s="3"/>
    </row>
    <row r="381">
      <c r="G381" s="3"/>
    </row>
    <row r="382">
      <c r="G382" s="3"/>
    </row>
    <row r="383">
      <c r="G383" s="3"/>
    </row>
    <row r="384">
      <c r="G384" s="3"/>
    </row>
    <row r="385">
      <c r="G385" s="3"/>
    </row>
    <row r="386">
      <c r="G386" s="3"/>
    </row>
    <row r="387">
      <c r="G387" s="3"/>
    </row>
    <row r="388">
      <c r="G388" s="3"/>
    </row>
    <row r="389">
      <c r="G389" s="3"/>
    </row>
    <row r="390">
      <c r="G390" s="3"/>
    </row>
    <row r="391">
      <c r="G391" s="3"/>
    </row>
    <row r="392">
      <c r="G392" s="3"/>
    </row>
    <row r="393">
      <c r="G393" s="3"/>
    </row>
    <row r="394">
      <c r="G394" s="3"/>
    </row>
    <row r="395">
      <c r="G395" s="3"/>
    </row>
    <row r="396">
      <c r="G396" s="3"/>
    </row>
    <row r="397">
      <c r="G397" s="3"/>
    </row>
    <row r="398">
      <c r="G398" s="3"/>
    </row>
    <row r="399">
      <c r="G399" s="3"/>
    </row>
    <row r="400">
      <c r="G400" s="3"/>
    </row>
    <row r="401">
      <c r="G401" s="3"/>
    </row>
    <row r="402">
      <c r="G402" s="3"/>
    </row>
    <row r="403">
      <c r="G403" s="3"/>
    </row>
    <row r="404">
      <c r="G404" s="3"/>
    </row>
    <row r="405">
      <c r="G405" s="3"/>
    </row>
    <row r="406">
      <c r="G406" s="3"/>
    </row>
    <row r="407">
      <c r="G407" s="3"/>
    </row>
    <row r="408">
      <c r="G408" s="3"/>
    </row>
    <row r="409">
      <c r="G409" s="3"/>
    </row>
    <row r="410">
      <c r="G410" s="3"/>
    </row>
    <row r="411">
      <c r="G411" s="3"/>
    </row>
    <row r="412">
      <c r="G412" s="3"/>
    </row>
    <row r="413">
      <c r="G413" s="3"/>
    </row>
    <row r="414">
      <c r="G414" s="3"/>
    </row>
    <row r="415">
      <c r="G415" s="3"/>
    </row>
    <row r="416">
      <c r="G416" s="3"/>
    </row>
    <row r="417">
      <c r="G417" s="3"/>
    </row>
    <row r="418">
      <c r="G418" s="3"/>
    </row>
    <row r="419">
      <c r="G419" s="3"/>
    </row>
    <row r="420">
      <c r="G420" s="3"/>
    </row>
    <row r="421">
      <c r="G421" s="3"/>
    </row>
    <row r="422">
      <c r="G422" s="3"/>
    </row>
    <row r="423">
      <c r="G423" s="3"/>
    </row>
    <row r="424">
      <c r="G424" s="3"/>
    </row>
    <row r="425">
      <c r="G425" s="3"/>
    </row>
    <row r="426">
      <c r="G426" s="3"/>
    </row>
    <row r="427">
      <c r="G427" s="3"/>
    </row>
    <row r="428">
      <c r="G428" s="3"/>
    </row>
    <row r="429">
      <c r="G429" s="3"/>
    </row>
    <row r="430">
      <c r="G430" s="3"/>
    </row>
    <row r="431">
      <c r="G431" s="3"/>
    </row>
    <row r="432">
      <c r="G432" s="3"/>
    </row>
    <row r="433">
      <c r="G433" s="3"/>
    </row>
    <row r="434">
      <c r="G434" s="3"/>
    </row>
    <row r="435">
      <c r="G435" s="3"/>
    </row>
    <row r="436">
      <c r="G436" s="3"/>
    </row>
    <row r="437">
      <c r="G437" s="3"/>
    </row>
    <row r="438">
      <c r="G438" s="3"/>
    </row>
    <row r="439">
      <c r="G439" s="3"/>
    </row>
    <row r="440">
      <c r="G440" s="3"/>
    </row>
    <row r="441">
      <c r="G441" s="3"/>
    </row>
    <row r="442">
      <c r="G442" s="3"/>
    </row>
    <row r="443">
      <c r="G443" s="3"/>
    </row>
    <row r="444">
      <c r="G444" s="3"/>
    </row>
    <row r="445">
      <c r="G445" s="3"/>
    </row>
    <row r="446">
      <c r="G446" s="3"/>
    </row>
    <row r="447">
      <c r="G447" s="3"/>
    </row>
    <row r="448">
      <c r="G448" s="3"/>
    </row>
    <row r="449">
      <c r="G449" s="3"/>
    </row>
    <row r="450">
      <c r="G450" s="3"/>
    </row>
    <row r="451">
      <c r="G451" s="3"/>
    </row>
    <row r="452">
      <c r="G452" s="3"/>
    </row>
    <row r="453">
      <c r="G453" s="3"/>
    </row>
    <row r="454">
      <c r="G454" s="3"/>
    </row>
    <row r="455">
      <c r="G455" s="3"/>
    </row>
    <row r="456">
      <c r="G456" s="3"/>
    </row>
    <row r="457">
      <c r="G457" s="3"/>
    </row>
    <row r="458">
      <c r="G458" s="3"/>
    </row>
    <row r="459">
      <c r="G459" s="3"/>
    </row>
    <row r="460">
      <c r="G460" s="3"/>
    </row>
    <row r="461">
      <c r="G461" s="3"/>
    </row>
    <row r="462">
      <c r="G462" s="3"/>
    </row>
    <row r="463">
      <c r="G463" s="3"/>
    </row>
    <row r="464">
      <c r="G464" s="3"/>
    </row>
    <row r="465">
      <c r="G465" s="3"/>
    </row>
    <row r="466">
      <c r="G466" s="3"/>
    </row>
    <row r="467">
      <c r="G467" s="3"/>
    </row>
    <row r="468">
      <c r="G468" s="3"/>
    </row>
    <row r="469">
      <c r="G469" s="3"/>
    </row>
    <row r="470">
      <c r="G470" s="3"/>
    </row>
    <row r="471">
      <c r="G471" s="3"/>
    </row>
    <row r="472">
      <c r="G472" s="3"/>
    </row>
    <row r="473">
      <c r="G473" s="3"/>
    </row>
    <row r="474">
      <c r="G474" s="3"/>
    </row>
    <row r="475">
      <c r="G475" s="3"/>
    </row>
    <row r="476">
      <c r="G476" s="3"/>
    </row>
    <row r="477">
      <c r="G477" s="3"/>
    </row>
    <row r="478">
      <c r="G478" s="3"/>
    </row>
    <row r="479">
      <c r="G479" s="3"/>
    </row>
    <row r="480">
      <c r="G480" s="3"/>
    </row>
    <row r="481">
      <c r="G481" s="3"/>
    </row>
    <row r="482">
      <c r="G482" s="3"/>
    </row>
    <row r="483">
      <c r="G483" s="3"/>
    </row>
    <row r="484">
      <c r="G484" s="3"/>
    </row>
    <row r="485">
      <c r="G485" s="3"/>
    </row>
    <row r="486">
      <c r="G486" s="3"/>
    </row>
    <row r="487">
      <c r="G487" s="3"/>
    </row>
    <row r="488">
      <c r="G488" s="3"/>
    </row>
    <row r="489">
      <c r="G489" s="3"/>
    </row>
    <row r="490">
      <c r="G490" s="3"/>
    </row>
    <row r="491">
      <c r="G491" s="3"/>
    </row>
    <row r="492">
      <c r="G492" s="3"/>
    </row>
    <row r="493">
      <c r="G493" s="3"/>
    </row>
    <row r="494">
      <c r="G494" s="3"/>
    </row>
    <row r="495">
      <c r="G495" s="3"/>
    </row>
    <row r="496">
      <c r="G496" s="3"/>
    </row>
    <row r="497">
      <c r="G497" s="3"/>
    </row>
    <row r="498">
      <c r="G498" s="3"/>
    </row>
    <row r="499">
      <c r="G499" s="3"/>
    </row>
    <row r="500">
      <c r="G500" s="3"/>
    </row>
    <row r="501">
      <c r="G501" s="3"/>
    </row>
    <row r="502">
      <c r="G502" s="3"/>
    </row>
    <row r="503">
      <c r="G503" s="3"/>
    </row>
    <row r="504">
      <c r="G504" s="3"/>
    </row>
    <row r="505">
      <c r="G505" s="3"/>
    </row>
    <row r="506">
      <c r="G506" s="3"/>
    </row>
    <row r="507">
      <c r="G507" s="3"/>
    </row>
    <row r="508">
      <c r="G508" s="3"/>
    </row>
    <row r="509">
      <c r="G509" s="3"/>
    </row>
    <row r="510">
      <c r="G510" s="3"/>
    </row>
    <row r="511">
      <c r="G511" s="3"/>
    </row>
    <row r="512">
      <c r="G512" s="3"/>
    </row>
    <row r="513">
      <c r="G513" s="3"/>
    </row>
    <row r="514">
      <c r="G514" s="3"/>
    </row>
    <row r="515">
      <c r="G515" s="3"/>
    </row>
    <row r="516">
      <c r="G516" s="3"/>
    </row>
    <row r="517">
      <c r="G517" s="3"/>
    </row>
    <row r="518">
      <c r="G518" s="3"/>
    </row>
    <row r="519">
      <c r="G519" s="3"/>
    </row>
    <row r="520">
      <c r="G520" s="3"/>
    </row>
    <row r="521">
      <c r="G521" s="3"/>
    </row>
    <row r="522">
      <c r="G522" s="3"/>
    </row>
    <row r="523">
      <c r="G523" s="3"/>
    </row>
    <row r="524">
      <c r="G524" s="3"/>
    </row>
    <row r="525">
      <c r="G525" s="3"/>
    </row>
    <row r="526">
      <c r="G526" s="3"/>
    </row>
    <row r="527">
      <c r="G527" s="3"/>
    </row>
    <row r="528">
      <c r="G528" s="3"/>
    </row>
    <row r="529">
      <c r="G529" s="3"/>
    </row>
    <row r="530">
      <c r="G530" s="3"/>
    </row>
    <row r="531">
      <c r="G531" s="3"/>
    </row>
    <row r="532">
      <c r="G532" s="3"/>
    </row>
    <row r="533">
      <c r="G533" s="3"/>
    </row>
    <row r="534">
      <c r="G534" s="3"/>
    </row>
    <row r="535">
      <c r="G535" s="3"/>
    </row>
    <row r="536">
      <c r="G536" s="3"/>
    </row>
    <row r="537">
      <c r="G537" s="3"/>
    </row>
    <row r="538">
      <c r="G538" s="3"/>
    </row>
    <row r="539">
      <c r="G539" s="3"/>
    </row>
    <row r="540">
      <c r="G540" s="3"/>
    </row>
    <row r="541">
      <c r="G541" s="3"/>
    </row>
    <row r="542">
      <c r="G542" s="3"/>
    </row>
    <row r="543">
      <c r="G543" s="3"/>
    </row>
    <row r="544">
      <c r="G544" s="3"/>
    </row>
    <row r="545">
      <c r="G545" s="3"/>
    </row>
    <row r="546">
      <c r="G546" s="3"/>
    </row>
    <row r="547">
      <c r="G547" s="3"/>
    </row>
    <row r="548">
      <c r="G548" s="3"/>
    </row>
    <row r="549">
      <c r="G549" s="3"/>
    </row>
    <row r="550">
      <c r="G550" s="3"/>
    </row>
    <row r="551">
      <c r="G551" s="3"/>
    </row>
    <row r="552">
      <c r="G552" s="3"/>
    </row>
    <row r="553">
      <c r="G553" s="3"/>
    </row>
    <row r="554">
      <c r="G554" s="3"/>
    </row>
    <row r="555">
      <c r="G555" s="3"/>
    </row>
    <row r="556">
      <c r="G556" s="3"/>
    </row>
    <row r="557">
      <c r="G557" s="3"/>
    </row>
    <row r="558">
      <c r="G558" s="3"/>
    </row>
    <row r="559">
      <c r="G559" s="3"/>
    </row>
    <row r="560">
      <c r="G560" s="3"/>
    </row>
    <row r="561">
      <c r="G561" s="3"/>
    </row>
    <row r="562">
      <c r="G562" s="3"/>
    </row>
    <row r="563">
      <c r="G563" s="3"/>
    </row>
    <row r="564">
      <c r="G564" s="3"/>
    </row>
    <row r="565">
      <c r="G565" s="3"/>
    </row>
    <row r="566">
      <c r="G566" s="3"/>
    </row>
    <row r="567">
      <c r="G567" s="3"/>
    </row>
    <row r="568">
      <c r="G568" s="3"/>
    </row>
    <row r="569">
      <c r="G569" s="3"/>
    </row>
    <row r="570">
      <c r="G570" s="3"/>
    </row>
    <row r="571">
      <c r="G571" s="3"/>
    </row>
    <row r="572">
      <c r="G572" s="3"/>
    </row>
    <row r="573">
      <c r="G573" s="3"/>
    </row>
    <row r="574">
      <c r="G574" s="3"/>
    </row>
    <row r="575">
      <c r="G575" s="3"/>
    </row>
    <row r="576">
      <c r="G576" s="3"/>
    </row>
    <row r="577">
      <c r="G577" s="3"/>
    </row>
    <row r="578">
      <c r="G578" s="3"/>
    </row>
    <row r="579">
      <c r="G579" s="3"/>
    </row>
    <row r="580">
      <c r="G580" s="3"/>
    </row>
    <row r="581">
      <c r="G581" s="3"/>
    </row>
    <row r="582">
      <c r="G582" s="3"/>
    </row>
    <row r="583">
      <c r="G583" s="3"/>
    </row>
    <row r="584">
      <c r="G584" s="3"/>
    </row>
    <row r="585">
      <c r="G585" s="3"/>
    </row>
    <row r="586">
      <c r="G586" s="3"/>
    </row>
    <row r="587">
      <c r="G587" s="3"/>
    </row>
    <row r="588">
      <c r="G588" s="3"/>
    </row>
    <row r="589">
      <c r="G589" s="3"/>
    </row>
    <row r="590">
      <c r="G590" s="3"/>
    </row>
    <row r="591">
      <c r="G591" s="3"/>
    </row>
    <row r="592">
      <c r="G592" s="3"/>
    </row>
    <row r="593">
      <c r="G593" s="3"/>
    </row>
    <row r="594">
      <c r="G594" s="3"/>
    </row>
    <row r="595">
      <c r="G595" s="3"/>
    </row>
    <row r="596">
      <c r="G596" s="3"/>
    </row>
    <row r="597">
      <c r="G597" s="3"/>
    </row>
    <row r="598">
      <c r="G598" s="3"/>
    </row>
    <row r="599">
      <c r="G599" s="3"/>
    </row>
    <row r="600">
      <c r="G600" s="3"/>
    </row>
    <row r="601">
      <c r="G601" s="3"/>
    </row>
    <row r="602">
      <c r="G602" s="3"/>
    </row>
    <row r="603">
      <c r="G603" s="3"/>
    </row>
    <row r="604">
      <c r="G604" s="3"/>
    </row>
    <row r="605">
      <c r="G605" s="3"/>
    </row>
    <row r="606">
      <c r="G606" s="3"/>
    </row>
    <row r="607">
      <c r="G607" s="3"/>
    </row>
    <row r="608">
      <c r="G608" s="3"/>
    </row>
    <row r="609">
      <c r="G609" s="3"/>
    </row>
    <row r="610">
      <c r="G610" s="3"/>
    </row>
    <row r="611">
      <c r="G611" s="3"/>
    </row>
    <row r="612">
      <c r="G612" s="3"/>
    </row>
    <row r="613">
      <c r="G613" s="3"/>
    </row>
    <row r="614">
      <c r="G614" s="3"/>
    </row>
    <row r="615">
      <c r="G615" s="3"/>
    </row>
    <row r="616">
      <c r="G616" s="3"/>
    </row>
    <row r="617">
      <c r="G617" s="3"/>
    </row>
    <row r="618">
      <c r="G618" s="3"/>
    </row>
    <row r="619">
      <c r="G619" s="3"/>
    </row>
    <row r="620">
      <c r="G620" s="3"/>
    </row>
    <row r="621">
      <c r="G621" s="3"/>
    </row>
    <row r="622">
      <c r="G622" s="3"/>
    </row>
    <row r="623">
      <c r="G623" s="3"/>
    </row>
    <row r="624">
      <c r="G624" s="3"/>
    </row>
    <row r="625">
      <c r="G625" s="3"/>
    </row>
    <row r="626">
      <c r="G626" s="3"/>
    </row>
    <row r="627">
      <c r="G627" s="3"/>
    </row>
    <row r="628">
      <c r="G628" s="3"/>
    </row>
    <row r="629">
      <c r="G629" s="3"/>
    </row>
    <row r="630">
      <c r="G630" s="3"/>
    </row>
    <row r="631">
      <c r="G631" s="3"/>
    </row>
    <row r="632">
      <c r="G632" s="3"/>
    </row>
    <row r="633">
      <c r="G633" s="3"/>
    </row>
    <row r="634">
      <c r="G634" s="3"/>
    </row>
    <row r="635">
      <c r="G635" s="3"/>
    </row>
    <row r="636">
      <c r="G636" s="3"/>
    </row>
    <row r="637">
      <c r="G637" s="3"/>
    </row>
    <row r="638">
      <c r="G638" s="3"/>
    </row>
    <row r="639">
      <c r="G639" s="3"/>
    </row>
    <row r="640">
      <c r="G640" s="3"/>
    </row>
    <row r="641">
      <c r="G641" s="3"/>
    </row>
    <row r="642">
      <c r="G642" s="3"/>
    </row>
    <row r="643">
      <c r="G643" s="3"/>
    </row>
    <row r="644">
      <c r="G644" s="3"/>
    </row>
    <row r="645">
      <c r="G645" s="3"/>
    </row>
    <row r="646">
      <c r="G646" s="3"/>
    </row>
    <row r="647">
      <c r="G647" s="3"/>
    </row>
    <row r="648">
      <c r="G648" s="3"/>
    </row>
    <row r="649">
      <c r="G649" s="3"/>
    </row>
    <row r="650">
      <c r="G650" s="3"/>
    </row>
    <row r="651">
      <c r="G651" s="3"/>
    </row>
    <row r="652">
      <c r="G652" s="3"/>
    </row>
    <row r="653">
      <c r="G653" s="3"/>
    </row>
    <row r="654">
      <c r="G654" s="3"/>
    </row>
    <row r="655">
      <c r="G655" s="3"/>
    </row>
    <row r="656">
      <c r="G656" s="3"/>
    </row>
    <row r="657">
      <c r="G657" s="3"/>
    </row>
    <row r="658">
      <c r="G658" s="3"/>
    </row>
    <row r="659">
      <c r="G659" s="3"/>
    </row>
    <row r="660">
      <c r="G660" s="3"/>
    </row>
    <row r="661">
      <c r="G661" s="3"/>
    </row>
    <row r="662">
      <c r="G662" s="3"/>
    </row>
    <row r="663">
      <c r="G663" s="3"/>
    </row>
    <row r="664">
      <c r="G664" s="3"/>
    </row>
    <row r="665">
      <c r="G665" s="3"/>
    </row>
    <row r="666">
      <c r="G666" s="3"/>
    </row>
    <row r="667">
      <c r="G667" s="3"/>
    </row>
    <row r="668">
      <c r="G668" s="3"/>
    </row>
    <row r="669">
      <c r="G669" s="3"/>
    </row>
    <row r="670">
      <c r="G670" s="3"/>
    </row>
    <row r="671">
      <c r="G671" s="3"/>
    </row>
    <row r="672">
      <c r="G672" s="3"/>
    </row>
    <row r="673">
      <c r="G673" s="3"/>
    </row>
    <row r="674">
      <c r="G674" s="3"/>
    </row>
    <row r="675">
      <c r="G675" s="3"/>
    </row>
    <row r="676">
      <c r="G676" s="3"/>
    </row>
    <row r="677">
      <c r="G677" s="3"/>
    </row>
    <row r="678">
      <c r="G678" s="3"/>
    </row>
    <row r="679">
      <c r="G679" s="3"/>
    </row>
    <row r="680">
      <c r="G680" s="3"/>
    </row>
    <row r="681">
      <c r="G681" s="3"/>
    </row>
    <row r="682">
      <c r="G682" s="3"/>
    </row>
    <row r="683">
      <c r="G683" s="3"/>
    </row>
    <row r="684">
      <c r="G684" s="3"/>
    </row>
    <row r="685">
      <c r="G685" s="3"/>
    </row>
    <row r="686">
      <c r="G686" s="3"/>
    </row>
    <row r="687">
      <c r="G687" s="3"/>
    </row>
    <row r="688">
      <c r="G688" s="3"/>
    </row>
    <row r="689">
      <c r="G689" s="3"/>
    </row>
    <row r="690">
      <c r="G690" s="3"/>
    </row>
    <row r="691">
      <c r="G691" s="3"/>
    </row>
    <row r="692">
      <c r="G692" s="3"/>
    </row>
    <row r="693">
      <c r="G693" s="3"/>
    </row>
    <row r="694">
      <c r="G694" s="3"/>
    </row>
    <row r="695">
      <c r="G695" s="3"/>
    </row>
    <row r="696">
      <c r="G696" s="3"/>
    </row>
    <row r="697">
      <c r="G697" s="3"/>
    </row>
    <row r="698">
      <c r="G698" s="3"/>
    </row>
    <row r="699">
      <c r="G699" s="3"/>
    </row>
    <row r="700">
      <c r="G700" s="3"/>
    </row>
    <row r="701">
      <c r="G701" s="3"/>
    </row>
    <row r="702">
      <c r="G702" s="3"/>
    </row>
    <row r="703">
      <c r="G703" s="3"/>
    </row>
    <row r="704">
      <c r="G704" s="3"/>
    </row>
    <row r="705">
      <c r="G705" s="3"/>
    </row>
    <row r="706">
      <c r="G706" s="3"/>
    </row>
    <row r="707">
      <c r="G707" s="3"/>
    </row>
    <row r="708">
      <c r="G708" s="3"/>
    </row>
    <row r="709">
      <c r="G709" s="3"/>
    </row>
    <row r="710">
      <c r="G710" s="3"/>
    </row>
    <row r="711">
      <c r="G711" s="3"/>
    </row>
    <row r="712">
      <c r="G712" s="3"/>
    </row>
    <row r="713">
      <c r="G713" s="3"/>
    </row>
    <row r="714">
      <c r="G714" s="3"/>
    </row>
    <row r="715">
      <c r="G715" s="3"/>
    </row>
    <row r="716">
      <c r="G716" s="3"/>
    </row>
    <row r="717">
      <c r="G717" s="3"/>
    </row>
    <row r="718">
      <c r="G718" s="3"/>
    </row>
    <row r="719">
      <c r="G719" s="3"/>
    </row>
    <row r="720">
      <c r="G720" s="3"/>
    </row>
    <row r="721">
      <c r="G721" s="3"/>
    </row>
    <row r="722">
      <c r="G722" s="3"/>
    </row>
    <row r="723">
      <c r="G723" s="3"/>
    </row>
    <row r="724">
      <c r="G724" s="3"/>
    </row>
    <row r="725">
      <c r="G725" s="3"/>
    </row>
    <row r="726">
      <c r="G726" s="3"/>
    </row>
    <row r="727">
      <c r="G727" s="3"/>
    </row>
    <row r="728">
      <c r="G728" s="3"/>
    </row>
    <row r="729">
      <c r="G729" s="3"/>
    </row>
    <row r="730">
      <c r="G730" s="3"/>
    </row>
    <row r="731">
      <c r="G731" s="3"/>
    </row>
    <row r="732">
      <c r="G732" s="3"/>
    </row>
    <row r="733">
      <c r="G733" s="3"/>
    </row>
    <row r="734">
      <c r="G734" s="3"/>
    </row>
    <row r="735">
      <c r="G735" s="3"/>
    </row>
    <row r="736">
      <c r="G736" s="3"/>
    </row>
    <row r="737">
      <c r="G737" s="3"/>
    </row>
    <row r="738">
      <c r="G738" s="3"/>
    </row>
    <row r="739">
      <c r="G739" s="3"/>
    </row>
    <row r="740">
      <c r="G740" s="3"/>
    </row>
    <row r="741">
      <c r="G741" s="3"/>
    </row>
    <row r="742">
      <c r="G742" s="3"/>
    </row>
    <row r="743">
      <c r="G743" s="3"/>
    </row>
    <row r="744">
      <c r="G744" s="3"/>
    </row>
    <row r="745">
      <c r="G745" s="3"/>
    </row>
    <row r="746">
      <c r="G746" s="3"/>
    </row>
    <row r="747">
      <c r="G747" s="3"/>
    </row>
    <row r="748">
      <c r="G748" s="3"/>
    </row>
    <row r="749">
      <c r="G749" s="3"/>
    </row>
    <row r="750">
      <c r="G750" s="3"/>
    </row>
    <row r="751">
      <c r="G751" s="3"/>
    </row>
    <row r="752">
      <c r="G752" s="3"/>
    </row>
    <row r="753">
      <c r="G753" s="3"/>
    </row>
    <row r="754">
      <c r="G754" s="3"/>
    </row>
    <row r="755">
      <c r="G755" s="3"/>
    </row>
    <row r="756">
      <c r="G756" s="3"/>
    </row>
    <row r="757">
      <c r="G757" s="3"/>
    </row>
    <row r="758">
      <c r="G758" s="3"/>
    </row>
    <row r="759">
      <c r="G759" s="3"/>
    </row>
    <row r="760">
      <c r="G760" s="3"/>
    </row>
    <row r="761">
      <c r="G761" s="3"/>
    </row>
    <row r="762">
      <c r="G762" s="3"/>
    </row>
    <row r="763">
      <c r="G763" s="3"/>
    </row>
    <row r="764">
      <c r="G764" s="3"/>
    </row>
    <row r="765">
      <c r="G765" s="3"/>
    </row>
    <row r="766">
      <c r="G766" s="3"/>
    </row>
    <row r="767">
      <c r="G767" s="3"/>
    </row>
    <row r="768">
      <c r="G768" s="3"/>
    </row>
    <row r="769">
      <c r="G769" s="3"/>
    </row>
    <row r="770">
      <c r="G770" s="3"/>
    </row>
    <row r="771">
      <c r="G771" s="3"/>
    </row>
    <row r="772">
      <c r="G772" s="3"/>
    </row>
    <row r="773">
      <c r="G773" s="3"/>
    </row>
    <row r="774">
      <c r="G774" s="3"/>
    </row>
    <row r="775">
      <c r="G775" s="3"/>
    </row>
    <row r="776">
      <c r="G776" s="3"/>
    </row>
    <row r="777">
      <c r="G777" s="3"/>
    </row>
    <row r="778">
      <c r="G778" s="3"/>
    </row>
    <row r="779">
      <c r="G779" s="3"/>
    </row>
    <row r="780">
      <c r="G780" s="3"/>
    </row>
    <row r="781">
      <c r="G781" s="3"/>
    </row>
    <row r="782">
      <c r="G782" s="3"/>
    </row>
    <row r="783">
      <c r="G783" s="3"/>
    </row>
    <row r="784">
      <c r="G784" s="3"/>
    </row>
    <row r="785">
      <c r="G785" s="3"/>
    </row>
    <row r="786">
      <c r="G786" s="3"/>
    </row>
    <row r="787">
      <c r="G787" s="3"/>
    </row>
    <row r="788">
      <c r="G788" s="3"/>
    </row>
    <row r="789">
      <c r="G789" s="3"/>
    </row>
    <row r="790">
      <c r="G790" s="3"/>
    </row>
    <row r="791">
      <c r="G791" s="3"/>
    </row>
    <row r="792">
      <c r="G792" s="3"/>
    </row>
    <row r="793">
      <c r="G793" s="3"/>
    </row>
    <row r="794">
      <c r="G794" s="3"/>
    </row>
    <row r="795">
      <c r="G795" s="3"/>
    </row>
    <row r="796">
      <c r="G796" s="3"/>
    </row>
    <row r="797">
      <c r="G797" s="3"/>
    </row>
    <row r="798">
      <c r="G798" s="3"/>
    </row>
    <row r="799">
      <c r="G799" s="3"/>
    </row>
    <row r="800">
      <c r="G800" s="3"/>
    </row>
    <row r="801">
      <c r="G801" s="3"/>
    </row>
    <row r="802">
      <c r="G802" s="3"/>
    </row>
    <row r="803">
      <c r="G803" s="3"/>
    </row>
    <row r="804">
      <c r="G804" s="3"/>
    </row>
    <row r="805">
      <c r="G805" s="3"/>
    </row>
    <row r="806">
      <c r="G806" s="3"/>
    </row>
    <row r="807">
      <c r="G807" s="3"/>
    </row>
    <row r="808">
      <c r="G808" s="3"/>
    </row>
    <row r="809">
      <c r="G809" s="3"/>
    </row>
    <row r="810">
      <c r="G810" s="3"/>
    </row>
    <row r="811">
      <c r="G811" s="3"/>
    </row>
    <row r="812">
      <c r="G812" s="3"/>
    </row>
    <row r="813">
      <c r="G813" s="3"/>
    </row>
    <row r="814">
      <c r="G814" s="3"/>
    </row>
    <row r="815">
      <c r="G815" s="3"/>
    </row>
    <row r="816">
      <c r="G816" s="3"/>
    </row>
    <row r="817">
      <c r="G817" s="3"/>
    </row>
    <row r="818">
      <c r="G818" s="3"/>
    </row>
    <row r="819">
      <c r="G819" s="3"/>
    </row>
    <row r="820">
      <c r="G820" s="3"/>
    </row>
    <row r="821">
      <c r="G821" s="3"/>
    </row>
    <row r="822">
      <c r="G822" s="3"/>
    </row>
    <row r="823">
      <c r="G823" s="3"/>
    </row>
    <row r="824">
      <c r="G824" s="3"/>
    </row>
    <row r="825">
      <c r="G825" s="3"/>
    </row>
    <row r="826">
      <c r="G826" s="3"/>
    </row>
    <row r="827">
      <c r="G827" s="3"/>
    </row>
    <row r="828">
      <c r="G828" s="3"/>
    </row>
    <row r="829">
      <c r="G829" s="3"/>
    </row>
    <row r="830">
      <c r="G830" s="3"/>
    </row>
    <row r="831">
      <c r="G831" s="3"/>
    </row>
    <row r="832">
      <c r="G832" s="3"/>
    </row>
    <row r="833">
      <c r="G833" s="3"/>
    </row>
    <row r="834">
      <c r="G834" s="3"/>
    </row>
    <row r="835">
      <c r="G835" s="3"/>
    </row>
    <row r="836">
      <c r="G836" s="3"/>
    </row>
    <row r="837">
      <c r="G837" s="3"/>
    </row>
    <row r="838">
      <c r="G838" s="3"/>
    </row>
    <row r="839">
      <c r="G839" s="3"/>
    </row>
    <row r="840">
      <c r="G840" s="3"/>
    </row>
    <row r="841">
      <c r="G841" s="3"/>
    </row>
    <row r="842">
      <c r="G842" s="3"/>
    </row>
    <row r="843">
      <c r="G843" s="3"/>
    </row>
    <row r="844">
      <c r="G844" s="3"/>
    </row>
    <row r="845">
      <c r="G845" s="3"/>
    </row>
    <row r="846">
      <c r="G846" s="3"/>
    </row>
    <row r="847">
      <c r="G847" s="3"/>
    </row>
    <row r="848">
      <c r="G848" s="3"/>
    </row>
    <row r="849">
      <c r="G849" s="3"/>
    </row>
    <row r="850">
      <c r="G850" s="3"/>
    </row>
    <row r="851">
      <c r="G851" s="3"/>
    </row>
    <row r="852">
      <c r="G852" s="3"/>
    </row>
    <row r="853">
      <c r="G853" s="3"/>
    </row>
    <row r="854">
      <c r="G854" s="3"/>
    </row>
    <row r="855">
      <c r="G855" s="3"/>
    </row>
    <row r="856">
      <c r="G856" s="3"/>
    </row>
    <row r="857">
      <c r="G857" s="3"/>
    </row>
    <row r="858">
      <c r="G858" s="3"/>
    </row>
    <row r="859">
      <c r="G859" s="3"/>
    </row>
    <row r="860">
      <c r="G860" s="3"/>
    </row>
    <row r="861">
      <c r="G861" s="3"/>
    </row>
    <row r="862">
      <c r="G862" s="3"/>
    </row>
    <row r="863">
      <c r="G863" s="3"/>
    </row>
    <row r="864">
      <c r="G864" s="3"/>
    </row>
    <row r="865">
      <c r="G865" s="3"/>
    </row>
    <row r="866">
      <c r="G866" s="3"/>
    </row>
    <row r="867">
      <c r="G867" s="3"/>
    </row>
    <row r="868">
      <c r="G868" s="3"/>
    </row>
    <row r="869">
      <c r="G869" s="3"/>
    </row>
    <row r="870">
      <c r="G870" s="3"/>
    </row>
    <row r="871">
      <c r="G871" s="3"/>
    </row>
    <row r="872">
      <c r="G872" s="3"/>
    </row>
    <row r="873">
      <c r="G873" s="3"/>
    </row>
    <row r="874">
      <c r="G874" s="3"/>
    </row>
    <row r="875">
      <c r="G875" s="3"/>
    </row>
    <row r="876">
      <c r="G876" s="3"/>
    </row>
    <row r="877">
      <c r="G877" s="3"/>
    </row>
    <row r="878">
      <c r="G878" s="3"/>
    </row>
    <row r="879">
      <c r="G879" s="3"/>
    </row>
    <row r="880">
      <c r="G880" s="3"/>
    </row>
    <row r="881">
      <c r="G881" s="3"/>
    </row>
    <row r="882">
      <c r="G882" s="3"/>
    </row>
    <row r="883">
      <c r="G883" s="3"/>
    </row>
    <row r="884">
      <c r="G884" s="3"/>
    </row>
    <row r="885">
      <c r="G885" s="3"/>
    </row>
    <row r="886">
      <c r="G886" s="3"/>
    </row>
    <row r="887">
      <c r="G887" s="3"/>
    </row>
    <row r="888">
      <c r="G888" s="3"/>
    </row>
    <row r="889">
      <c r="G889" s="3"/>
    </row>
    <row r="890">
      <c r="G890" s="3"/>
    </row>
    <row r="891">
      <c r="G891" s="3"/>
    </row>
    <row r="892">
      <c r="G892" s="3"/>
    </row>
    <row r="893">
      <c r="G893" s="3"/>
    </row>
    <row r="894">
      <c r="G894" s="3"/>
    </row>
    <row r="895">
      <c r="G895" s="3"/>
    </row>
    <row r="896">
      <c r="G896" s="3"/>
    </row>
    <row r="897">
      <c r="G897" s="3"/>
    </row>
    <row r="898">
      <c r="G898" s="3"/>
    </row>
    <row r="899">
      <c r="G899" s="3"/>
    </row>
    <row r="900">
      <c r="G900" s="3"/>
    </row>
    <row r="901">
      <c r="G901" s="3"/>
    </row>
    <row r="902">
      <c r="G902" s="3"/>
    </row>
    <row r="903">
      <c r="G903" s="3"/>
    </row>
    <row r="904">
      <c r="G904" s="3"/>
    </row>
    <row r="905">
      <c r="G905" s="3"/>
    </row>
    <row r="906">
      <c r="G906" s="3"/>
    </row>
    <row r="907">
      <c r="G907" s="3"/>
    </row>
    <row r="908">
      <c r="G908" s="3"/>
    </row>
    <row r="909">
      <c r="G909" s="3"/>
    </row>
    <row r="910">
      <c r="G910" s="3"/>
    </row>
    <row r="911">
      <c r="G911" s="3"/>
    </row>
    <row r="912">
      <c r="G912" s="3"/>
    </row>
    <row r="913">
      <c r="G913" s="3"/>
    </row>
    <row r="914">
      <c r="G914" s="3"/>
    </row>
    <row r="915">
      <c r="G915" s="3"/>
    </row>
    <row r="916">
      <c r="G916" s="3"/>
    </row>
    <row r="917">
      <c r="G917" s="3"/>
    </row>
    <row r="918">
      <c r="G918" s="3"/>
    </row>
    <row r="919">
      <c r="G919" s="3"/>
    </row>
    <row r="920">
      <c r="G920" s="3"/>
    </row>
    <row r="921">
      <c r="G921" s="3"/>
    </row>
    <row r="922">
      <c r="G922" s="3"/>
    </row>
    <row r="923">
      <c r="G923" s="3"/>
    </row>
    <row r="924">
      <c r="G924" s="3"/>
    </row>
    <row r="925">
      <c r="G925" s="3"/>
    </row>
    <row r="926">
      <c r="G926" s="3"/>
    </row>
    <row r="927">
      <c r="G927" s="3"/>
    </row>
    <row r="928">
      <c r="G928" s="3"/>
    </row>
    <row r="929">
      <c r="G929" s="3"/>
    </row>
    <row r="930">
      <c r="G930" s="3"/>
    </row>
    <row r="931">
      <c r="G931" s="3"/>
    </row>
    <row r="932">
      <c r="G932" s="3"/>
    </row>
    <row r="933">
      <c r="G933" s="3"/>
    </row>
    <row r="934">
      <c r="G934" s="3"/>
    </row>
    <row r="935">
      <c r="G935" s="3"/>
    </row>
    <row r="936">
      <c r="G936" s="3"/>
    </row>
    <row r="937">
      <c r="G937" s="3"/>
    </row>
    <row r="938">
      <c r="G938" s="3"/>
    </row>
    <row r="939">
      <c r="G939" s="3"/>
    </row>
    <row r="940">
      <c r="G940" s="3"/>
    </row>
    <row r="941">
      <c r="G941" s="3"/>
    </row>
    <row r="942">
      <c r="G942" s="3"/>
    </row>
    <row r="943">
      <c r="G943" s="3"/>
    </row>
    <row r="944">
      <c r="G944" s="3"/>
    </row>
    <row r="945">
      <c r="G945" s="3"/>
    </row>
    <row r="946">
      <c r="G946" s="3"/>
    </row>
    <row r="947">
      <c r="G947" s="3"/>
    </row>
    <row r="948">
      <c r="G948" s="3"/>
    </row>
    <row r="949">
      <c r="G949" s="3"/>
    </row>
    <row r="950">
      <c r="G950" s="3"/>
    </row>
    <row r="951">
      <c r="G951" s="3"/>
    </row>
    <row r="952">
      <c r="G952" s="3"/>
    </row>
    <row r="953">
      <c r="G953" s="3"/>
    </row>
    <row r="954">
      <c r="G954" s="3"/>
    </row>
    <row r="955">
      <c r="G955" s="3"/>
    </row>
    <row r="956">
      <c r="G956" s="3"/>
    </row>
    <row r="957">
      <c r="G957" s="3"/>
    </row>
    <row r="958">
      <c r="G958" s="3"/>
    </row>
    <row r="959">
      <c r="G959" s="3"/>
    </row>
    <row r="960">
      <c r="G960" s="3"/>
    </row>
    <row r="961">
      <c r="G961" s="3"/>
    </row>
    <row r="962">
      <c r="G962" s="3"/>
    </row>
    <row r="963">
      <c r="G963" s="3"/>
    </row>
    <row r="964">
      <c r="G964" s="3"/>
    </row>
    <row r="965">
      <c r="G965" s="3"/>
    </row>
    <row r="966">
      <c r="G966" s="3"/>
    </row>
    <row r="967">
      <c r="G967" s="3"/>
    </row>
    <row r="968">
      <c r="G968" s="3"/>
    </row>
    <row r="969">
      <c r="G969" s="3"/>
    </row>
    <row r="970">
      <c r="G970" s="3"/>
    </row>
    <row r="971">
      <c r="G971" s="3"/>
    </row>
    <row r="972">
      <c r="G972" s="3"/>
    </row>
    <row r="973">
      <c r="G973" s="3"/>
    </row>
    <row r="974">
      <c r="G974" s="3"/>
    </row>
    <row r="975">
      <c r="G975" s="3"/>
    </row>
    <row r="976">
      <c r="G976" s="3"/>
    </row>
    <row r="977">
      <c r="G977" s="3"/>
    </row>
    <row r="978">
      <c r="G978" s="3"/>
    </row>
    <row r="979">
      <c r="G979" s="3"/>
    </row>
    <row r="980">
      <c r="G980" s="3"/>
    </row>
    <row r="981">
      <c r="G981" s="3"/>
    </row>
    <row r="982">
      <c r="G982" s="3"/>
    </row>
    <row r="983">
      <c r="G983" s="3"/>
    </row>
    <row r="984">
      <c r="G984" s="3"/>
    </row>
    <row r="985">
      <c r="G985" s="3"/>
    </row>
    <row r="986">
      <c r="G986" s="3"/>
    </row>
    <row r="987">
      <c r="G987" s="3"/>
    </row>
    <row r="988">
      <c r="G988" s="3"/>
    </row>
    <row r="989">
      <c r="G989" s="3"/>
    </row>
    <row r="990">
      <c r="G990" s="3"/>
    </row>
    <row r="991">
      <c r="G991" s="3"/>
    </row>
    <row r="992">
      <c r="G992" s="3"/>
    </row>
    <row r="993">
      <c r="G993" s="3"/>
    </row>
    <row r="994">
      <c r="G994" s="3"/>
    </row>
    <row r="995">
      <c r="G995" s="3"/>
    </row>
    <row r="996">
      <c r="G996" s="3"/>
    </row>
    <row r="997">
      <c r="G997" s="3"/>
    </row>
    <row r="998">
      <c r="G998" s="3"/>
    </row>
    <row r="999">
      <c r="G999" s="3"/>
    </row>
    <row r="1000">
      <c r="G1000" s="3"/>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5" max="5" width="37.88"/>
  </cols>
  <sheetData>
    <row r="1">
      <c r="A1" s="1" t="s">
        <v>0</v>
      </c>
      <c r="B1" s="1" t="s">
        <v>1</v>
      </c>
      <c r="C1" s="1" t="s">
        <v>5</v>
      </c>
      <c r="D1" s="1" t="s">
        <v>2</v>
      </c>
      <c r="E1" s="1" t="s">
        <v>3</v>
      </c>
      <c r="F1" s="1" t="s">
        <v>4</v>
      </c>
      <c r="G1" s="1" t="s">
        <v>7</v>
      </c>
      <c r="H1" s="1" t="s">
        <v>8</v>
      </c>
      <c r="I1" s="1" t="s">
        <v>9</v>
      </c>
      <c r="J1" s="1" t="s">
        <v>10</v>
      </c>
      <c r="K1" s="1" t="s">
        <v>11</v>
      </c>
      <c r="L1" s="1" t="s">
        <v>12</v>
      </c>
      <c r="M1" s="1" t="s">
        <v>13</v>
      </c>
      <c r="N1" s="1" t="s">
        <v>6</v>
      </c>
    </row>
    <row r="2">
      <c r="A2" s="1" t="s">
        <v>14</v>
      </c>
      <c r="B2" s="1" t="s">
        <v>15</v>
      </c>
      <c r="C2" s="1" t="s">
        <v>17</v>
      </c>
      <c r="D2" s="1" t="str">
        <f>Vlookup(C2,'Oil &amp; Gas Documents - Canada'!F:M,2,FALSE)</f>
        <v>oil_and_gas</v>
      </c>
      <c r="E2" s="1" t="str">
        <f>Vlookup(C2,'Oil &amp; Gas Documents - Canada'!F:N,9,FALSE)</f>
        <v>1.1 Purpose
This Directive sets out the Ministry of Energy and Resources (ER)’s technical requirements for the design, construction, operation, modification, discontinuation and abandonment of pipelines.
This Directive also contains application requirements for:
• pipeline applications submitted on or after January 20, 2020,
• registering a legacy licence, and
• retroactive licensing of designated pipelines, including flowlines.
1.3 Application and Interpretation
This Directive applies to all pipelines that are subject to the jurisdiction of the PA. Appendices 3 and 4 of this Directive provide interpretations of technical requirements for pipelines that are exempt from licensing. Please refer to subsection 3(2) of the PA and Part 4 of the PALR for pipelines that are exempt from licensing.
This Directive sets out standards for the design and construction of pipelines. If a lesser standard was permitted at the time of issuing a legacy licence or at the time of constructing a designated pipeline, that lesser standard is acceptable.
1.5 Other Regulatory Requirements
A pipeline licence or any other approval issued by ER is approval for matters that fall within the jurisdiction of the PA. Applicants for a pipeline licence are advised to contact other agencies and government ministries to determine if other regulatory requirements related to the design, construction and operation of a proposed pipeline apply.</v>
      </c>
      <c r="F2" s="1" t="s">
        <v>16</v>
      </c>
      <c r="G2" s="4" t="str">
        <f>HYPERLINK("http://nimonikapp.com/legislations/386865","http://nimonikapp.com/legislations/386865")</f>
        <v>http://nimonikapp.com/legislations/386865</v>
      </c>
      <c r="H2" s="1" t="s">
        <v>18</v>
      </c>
      <c r="K2" s="5">
        <v>44774.0</v>
      </c>
      <c r="M2" s="5">
        <v>44894.0</v>
      </c>
    </row>
    <row r="3">
      <c r="A3" s="1" t="s">
        <v>14</v>
      </c>
      <c r="B3" s="1" t="s">
        <v>15</v>
      </c>
      <c r="C3" s="1" t="s">
        <v>20</v>
      </c>
      <c r="D3" s="1" t="str">
        <f>Vlookup(C3,'Oil &amp; Gas Documents - Canada'!F:M,2,FALSE)</f>
        <v>oil_and_gas</v>
      </c>
      <c r="E3" s="1" t="str">
        <f>Vlookup(C3,'Oil &amp; Gas Documents - Canada'!F:N,9,FALSE)</f>
        <v>1. Introduction
The purpose of this Directive is to outline the requirements for a Phase II Environmental Site Assessment and is intended to improve the consistency of reports submitted to the Ministry of Energy and Resources (ER). Information on Phase I Environmental Site Assessment requirements is provided in Directive PNG016: Acknowledgement of Reclamation Requirements (Directive PNG016).
This Directive applies to the environmental site assessment process as it relates to spills, incidents and historical contamination resulting from wells, facilities and flowlines as defined in The Oil and Gas Conservation Regulations, 2012 (OGCR).
This Directive replaces the Saskatchewan Petroleum Industry/Government Environmental Committee (SPIGEC) Guideline No. 4, Saskatchewan Upstream Petroleum Sites Remediation Guidelines and SPIGEC Guideline No. 5, Environmental Site Assessment Procedures for Upstream Petroleum Sites. Users of this document are reminded that the extent of assessment and investigation needed to adequately understand the conditions at a given site should be commensurate with the complexity of the situation.
This Directive incorporates an approach for characterizing impacted sites using tiered endpoints, all of which are intended to be protective of human health and the environment. Assessors have the option to use the endpoint most appropriate for the site as long as compliance with the regulatory requirements is maintained.
7.2 Scope
In addition to confirming or denying the presence of contamination, the Phase II ESA should be designed to delineate contamination and evaluate the migration potential and exposure possibilities (where applicable). To this end, the following information should be considered:
• an overview of historical, current and planned future land uses,
• detailed description of the site and its physical setting to form hypotheses about the release and ultimate fate of contamination,
• information on climate and meteorological conditions that may influence contamination distribution and migration,
• soil texture,
• groundwater presence/absence or characterization,
• sources of contamination at the site and the media that may be affected,
• the distribution of chemicals within each medium, including information on the concentration,
• proximity of contamination to human and ecological receptors,
• how contaminants may be migrating from the sources, the media and pathways through which migration and exposure of potential human or environmental receptors could occur, and information needed to interpret contaminant migration (soil properties, geology, hydrogeology, hydrology and possible preferential pathways),
• where relevant, information pertinent to soil vapor intrusion into buildings, including construction features of buildings,
• presence of conditions warranting a Tier 2 approach as described in the ENV Endpoint Selection Standard or Directive PNG045, and
• presence of conditions requiring a Tier 3 approach as described in the ENV Endpoint Selection Standard or Directive PNG045.
7.3 General Records
Every person required to conduct an ESA must ensure records are kept and retained for at least seven years from the date the record was created.</v>
      </c>
      <c r="F3" s="1" t="s">
        <v>19</v>
      </c>
      <c r="G3" s="4" t="str">
        <f>HYPERLINK("http://nimonikapp.com/legislations/386864","http://nimonikapp.com/legislations/386864")</f>
        <v>http://nimonikapp.com/legislations/386864</v>
      </c>
      <c r="H3" s="1" t="s">
        <v>18</v>
      </c>
      <c r="K3" s="5">
        <v>44743.0</v>
      </c>
      <c r="M3" s="5">
        <v>44894.0</v>
      </c>
    </row>
    <row r="4" hidden="1">
      <c r="A4" s="1" t="s">
        <v>21</v>
      </c>
      <c r="B4" s="1" t="s">
        <v>15</v>
      </c>
      <c r="C4" s="1" t="s">
        <v>805</v>
      </c>
      <c r="D4" s="1" t="str">
        <f>Vlookup(C4,'Oil &amp; Gas Documents - Canada'!F:M,2,FALSE)</f>
        <v>#N/A</v>
      </c>
      <c r="E4" s="1" t="str">
        <f>Vlookup(C4,'Oil &amp; Gas Documents - Canada'!F:N,9,FALSE)</f>
        <v>#N/A</v>
      </c>
      <c r="F4" s="1" t="s">
        <v>806</v>
      </c>
      <c r="G4" s="4" t="str">
        <f>HYPERLINK("http://nimonikapp.com/legislations/386856","http://nimonikapp.com/legislations/386856")</f>
        <v>http://nimonikapp.com/legislations/386856</v>
      </c>
      <c r="H4" s="1" t="s">
        <v>18</v>
      </c>
      <c r="K4" s="5">
        <v>44781.0</v>
      </c>
      <c r="L4" s="5">
        <v>44781.0</v>
      </c>
      <c r="M4" s="5">
        <v>44894.0</v>
      </c>
    </row>
    <row r="5">
      <c r="A5" s="1" t="s">
        <v>21</v>
      </c>
      <c r="B5" s="1" t="s">
        <v>15</v>
      </c>
      <c r="C5" s="1" t="s">
        <v>23</v>
      </c>
      <c r="D5" s="1" t="str">
        <f>Vlookup(C5,'Oil &amp; Gas Documents - Canada'!F:M,2,FALSE)</f>
        <v>oil_and_gas, other</v>
      </c>
      <c r="E5" s="1" t="str">
        <f>Vlookup(C5,'Oil &amp; Gas Documents - Canada'!F:N,9,FALSE)</f>
        <v>2 Holistic Licensee Assessment
As outlined in Directive 088, the holistic assessment includes multiple factors. The licensee capability assessment (LCA) is a critical one. Additional factors are outlined in section 4.5 of Directive 067, and the AER may consider any other factors that would be appropriate in the circumstance. These factors include other inspection, audit, or compliance elements not included in the LCA and information provided to the AER through complaints. Section 4.2 outlines other factors that may be considered related to transfer applications. 
3.1 Closure Spend Target Overview
Closure spend targets are part of the Inventory Reduction Program. A significant portion of industry inactive liabilities are not being sufficiently managed. Closure spend targets will create a minimum obligation for all licensees to abandon, remediate, and reclaim their oil and gas sites. 
Liability associated with inactive wells and facilities are used to determine closure targets. Licensees can refer to the following sources to view the life cycle status of their assets:
• A list of inactive wells is available through the Inactive Well Licence List report available on the Directive 013: Suspension Requirements for Wells webpage.
• A list of all inactive facilities is available in OneStop.
Inactive liability is estimated using Directive 011: Licensee Liability Rating (LLR) Program: Updated Industry Parameters and Liability Costs and site-specific liability assessments for sites with an inactive life cycle status.
The industry-wide closure spend target is based on inactive liability and historical closure spending for previous years. The industry-wide target and forecasts for the next five years are available on the AER website and are updated annually. 
4.1 Applications
There are two types of licence transfer applications that can be submitted to the AER:
• Applications to transfer licences between licensees are submitted by both parties through the designated information submission system.
• Applications to transfer licences that are part of an insolvency proceeding or a company that is under the care of the Orphan Well Association are facilitated by the AER in a process referred to as a regulator-directed transfer (RDT). Contact Directive088Transfers@aer.ca to initiate an RDT application.
Licences statuses that are eligible to be included in a licence transfer application are provided in Directive 088. Previously, reclamation certified and reclamation exempt licences could not be part of a transfer application. This has now changed, and the AER may apply discretion to require licensees to include the transfer of reclamation certified and reclamation exempt licences that are part of an insolvency proceeding, corporate clean out, or white map sales transaction, for example. The AER encourages licensees to contact the AER to discuss their specific circumstances with respect to reclamation certified and reclamation exempt licences.
Once registered in the designated information submission system, a licence transfer application is posted on the Public Notice of Application tool. A decision on the application will not be issued until the period for filing a statement of concern, as specified in the public notice of application, has lapsed.</v>
      </c>
      <c r="F5" s="1" t="s">
        <v>22</v>
      </c>
      <c r="G5" s="4" t="str">
        <f>HYPERLINK("http://nimonikapp.com/legislations/386855","http://nimonikapp.com/legislations/386855")</f>
        <v>http://nimonikapp.com/legislations/386855</v>
      </c>
      <c r="H5" s="1" t="s">
        <v>18</v>
      </c>
      <c r="K5" s="5">
        <v>44684.0</v>
      </c>
      <c r="M5" s="5">
        <v>44894.0</v>
      </c>
    </row>
    <row r="6" hidden="1">
      <c r="A6" s="1" t="s">
        <v>73</v>
      </c>
      <c r="B6" s="1" t="s">
        <v>15</v>
      </c>
      <c r="C6" s="1" t="s">
        <v>807</v>
      </c>
      <c r="D6" s="1" t="str">
        <f>Vlookup(C6,'Oil &amp; Gas Documents - Canada'!F:M,2,FALSE)</f>
        <v>#N/A</v>
      </c>
      <c r="E6" s="1" t="str">
        <f>Vlookup(C6,'Oil &amp; Gas Documents - Canada'!F:N,9,FALSE)</f>
        <v>#N/A</v>
      </c>
      <c r="F6" s="1" t="s">
        <v>808</v>
      </c>
      <c r="G6" s="4" t="str">
        <f>HYPERLINK("http://nimonikapp.com/legislations/386974","http://nimonikapp.com/legislations/386974")</f>
        <v>http://nimonikapp.com/legislations/386974</v>
      </c>
      <c r="H6" s="1" t="s">
        <v>52</v>
      </c>
      <c r="K6" s="5">
        <v>44891.0</v>
      </c>
      <c r="L6" s="5">
        <v>44981.0</v>
      </c>
      <c r="M6" s="5">
        <v>44894.0</v>
      </c>
    </row>
    <row r="7" hidden="1">
      <c r="A7" s="1" t="s">
        <v>73</v>
      </c>
      <c r="B7" s="1" t="s">
        <v>15</v>
      </c>
      <c r="C7" s="1" t="s">
        <v>809</v>
      </c>
      <c r="D7" s="1" t="str">
        <f>Vlookup(C7,'Oil &amp; Gas Documents - Canada'!F:M,2,FALSE)</f>
        <v>#N/A</v>
      </c>
      <c r="E7" s="1" t="str">
        <f>Vlookup(C7,'Oil &amp; Gas Documents - Canada'!F:N,9,FALSE)</f>
        <v>#N/A</v>
      </c>
      <c r="F7" s="1" t="s">
        <v>810</v>
      </c>
      <c r="G7" s="4" t="str">
        <f>HYPERLINK("http://nimonikapp.com/legislations/386972","http://nimonikapp.com/legislations/386972")</f>
        <v>http://nimonikapp.com/legislations/386972</v>
      </c>
      <c r="H7" s="1" t="s">
        <v>52</v>
      </c>
      <c r="K7" s="5">
        <v>44891.0</v>
      </c>
      <c r="L7" s="5">
        <v>44981.0</v>
      </c>
      <c r="M7" s="5">
        <v>44894.0</v>
      </c>
    </row>
    <row r="8" hidden="1">
      <c r="A8" s="1" t="s">
        <v>73</v>
      </c>
      <c r="B8" s="1" t="s">
        <v>15</v>
      </c>
      <c r="C8" s="1" t="s">
        <v>811</v>
      </c>
      <c r="D8" s="1" t="str">
        <f>Vlookup(C8,'Oil &amp; Gas Documents - Canada'!F:M,2,FALSE)</f>
        <v>#N/A</v>
      </c>
      <c r="E8" s="1" t="str">
        <f>Vlookup(C8,'Oil &amp; Gas Documents - Canada'!F:N,9,FALSE)</f>
        <v>#N/A</v>
      </c>
      <c r="F8" s="1" t="s">
        <v>812</v>
      </c>
      <c r="G8" s="4" t="str">
        <f>HYPERLINK("http://nimonikapp.com/legislations/386970","http://nimonikapp.com/legislations/386970")</f>
        <v>http://nimonikapp.com/legislations/386970</v>
      </c>
      <c r="H8" s="1" t="s">
        <v>52</v>
      </c>
      <c r="K8" s="5">
        <v>44891.0</v>
      </c>
      <c r="L8" s="5">
        <v>44981.0</v>
      </c>
      <c r="M8" s="5">
        <v>44894.0</v>
      </c>
    </row>
    <row r="9" hidden="1">
      <c r="A9" s="1" t="s">
        <v>73</v>
      </c>
      <c r="B9" s="1" t="s">
        <v>15</v>
      </c>
      <c r="C9" s="1" t="s">
        <v>813</v>
      </c>
      <c r="D9" s="1" t="str">
        <f>Vlookup(C9,'Oil &amp; Gas Documents - Canada'!F:M,2,FALSE)</f>
        <v>#N/A</v>
      </c>
      <c r="E9" s="1" t="str">
        <f>Vlookup(C9,'Oil &amp; Gas Documents - Canada'!F:N,9,FALSE)</f>
        <v>#N/A</v>
      </c>
      <c r="F9" s="1" t="s">
        <v>814</v>
      </c>
      <c r="G9" s="4" t="str">
        <f>HYPERLINK("http://nimonikapp.com/legislations/386969","http://nimonikapp.com/legislations/386969")</f>
        <v>http://nimonikapp.com/legislations/386969</v>
      </c>
      <c r="H9" s="1" t="s">
        <v>52</v>
      </c>
      <c r="K9" s="5">
        <v>44891.0</v>
      </c>
      <c r="L9" s="5">
        <v>44981.0</v>
      </c>
      <c r="M9" s="5">
        <v>44894.0</v>
      </c>
    </row>
    <row r="10" hidden="1">
      <c r="A10" s="1" t="s">
        <v>24</v>
      </c>
      <c r="B10" s="1" t="s">
        <v>25</v>
      </c>
      <c r="C10" s="1" t="s">
        <v>815</v>
      </c>
      <c r="D10" s="1" t="str">
        <f>Vlookup(C10,'Oil &amp; Gas Documents - Canada'!F:M,2,FALSE)</f>
        <v>#N/A</v>
      </c>
      <c r="E10" s="1" t="str">
        <f>Vlookup(C10,'Oil &amp; Gas Documents - Canada'!F:N,9,FALSE)</f>
        <v>#N/A</v>
      </c>
      <c r="F10" s="1" t="s">
        <v>816</v>
      </c>
      <c r="G10" s="4" t="str">
        <f>HYPERLINK("http://nimonikapp.com/legislations/101","http://nimonikapp.com/legislations/101")</f>
        <v>http://nimonikapp.com/legislations/101</v>
      </c>
      <c r="H10" s="1" t="s">
        <v>18</v>
      </c>
      <c r="I10" s="1" t="s">
        <v>817</v>
      </c>
      <c r="J10" s="1" t="s">
        <v>818</v>
      </c>
      <c r="K10" s="5">
        <v>44889.0</v>
      </c>
      <c r="M10" s="5">
        <v>44894.0</v>
      </c>
      <c r="N10" s="1" t="s">
        <v>819</v>
      </c>
    </row>
    <row r="11" hidden="1">
      <c r="A11" s="1" t="s">
        <v>24</v>
      </c>
      <c r="B11" s="1" t="s">
        <v>25</v>
      </c>
      <c r="C11" s="1" t="s">
        <v>820</v>
      </c>
      <c r="D11" s="1" t="str">
        <f>Vlookup(C11,'Oil &amp; Gas Documents - Canada'!F:M,2,FALSE)</f>
        <v>#N/A</v>
      </c>
      <c r="E11" s="1" t="str">
        <f>Vlookup(C11,'Oil &amp; Gas Documents - Canada'!F:N,9,FALSE)</f>
        <v>#N/A</v>
      </c>
      <c r="F11" s="1" t="s">
        <v>821</v>
      </c>
      <c r="G11" s="4" t="str">
        <f>HYPERLINK("http://nimonikapp.com/legislations/10649","http://nimonikapp.com/legislations/10649")</f>
        <v>http://nimonikapp.com/legislations/10649</v>
      </c>
      <c r="H11" s="1" t="s">
        <v>18</v>
      </c>
      <c r="I11" s="1" t="s">
        <v>817</v>
      </c>
      <c r="J11" s="1" t="s">
        <v>818</v>
      </c>
      <c r="K11" s="5">
        <v>44889.0</v>
      </c>
      <c r="M11" s="5">
        <v>44894.0</v>
      </c>
      <c r="N11" s="1" t="s">
        <v>822</v>
      </c>
    </row>
    <row r="12" hidden="1">
      <c r="A12" s="1" t="s">
        <v>24</v>
      </c>
      <c r="B12" s="1" t="s">
        <v>25</v>
      </c>
      <c r="C12" s="1" t="s">
        <v>823</v>
      </c>
      <c r="D12" s="1" t="str">
        <f>Vlookup(C12,'Oil &amp; Gas Documents - Canada'!F:M,2,FALSE)</f>
        <v>#N/A</v>
      </c>
      <c r="E12" s="1" t="str">
        <f>Vlookup(C12,'Oil &amp; Gas Documents - Canada'!F:N,9,FALSE)</f>
        <v>#N/A</v>
      </c>
      <c r="F12" s="1" t="s">
        <v>824</v>
      </c>
      <c r="G12" s="4" t="str">
        <f>HYPERLINK("http://nimonikapp.com/legislations/14454","http://nimonikapp.com/legislations/14454")</f>
        <v>http://nimonikapp.com/legislations/14454</v>
      </c>
      <c r="H12" s="1" t="s">
        <v>18</v>
      </c>
      <c r="I12" s="1" t="s">
        <v>817</v>
      </c>
      <c r="J12" s="1" t="s">
        <v>818</v>
      </c>
      <c r="K12" s="5">
        <v>44889.0</v>
      </c>
      <c r="M12" s="5">
        <v>44894.0</v>
      </c>
      <c r="N12" s="1" t="s">
        <v>825</v>
      </c>
    </row>
    <row r="13" hidden="1">
      <c r="A13" s="1" t="s">
        <v>24</v>
      </c>
      <c r="B13" s="1" t="s">
        <v>25</v>
      </c>
      <c r="C13" s="1" t="s">
        <v>826</v>
      </c>
      <c r="D13" s="1" t="str">
        <f>Vlookup(C13,'Oil &amp; Gas Documents - Canada'!F:M,2,FALSE)</f>
        <v>#N/A</v>
      </c>
      <c r="E13" s="1" t="str">
        <f>Vlookup(C13,'Oil &amp; Gas Documents - Canada'!F:N,9,FALSE)</f>
        <v>#N/A</v>
      </c>
      <c r="F13" s="1" t="s">
        <v>827</v>
      </c>
      <c r="G13" s="4" t="str">
        <f>HYPERLINK("http://nimonikapp.com/legislations/122769","http://nimonikapp.com/legislations/122769")</f>
        <v>http://nimonikapp.com/legislations/122769</v>
      </c>
      <c r="H13" s="1" t="s">
        <v>18</v>
      </c>
      <c r="I13" s="1" t="s">
        <v>817</v>
      </c>
      <c r="J13" s="1" t="s">
        <v>818</v>
      </c>
      <c r="K13" s="5">
        <v>44889.0</v>
      </c>
      <c r="M13" s="5">
        <v>44894.0</v>
      </c>
      <c r="N13" s="1" t="s">
        <v>828</v>
      </c>
    </row>
    <row r="14">
      <c r="A14" s="1" t="s">
        <v>24</v>
      </c>
      <c r="B14" s="1" t="s">
        <v>25</v>
      </c>
      <c r="C14" s="1" t="s">
        <v>28</v>
      </c>
      <c r="D14" s="1" t="s">
        <v>26</v>
      </c>
      <c r="E14" s="1" t="str">
        <f>Vlookup(C14,'Oil &amp; Gas Documents - Canada'!F:N,9,FALSE)</f>
        <v>#N/A</v>
      </c>
      <c r="F14" s="1" t="s">
        <v>27</v>
      </c>
      <c r="G14" s="4" t="str">
        <f>HYPERLINK("http://nimonikapp.com/legislations/14335","http://nimonikapp.com/legislations/14335")</f>
        <v>http://nimonikapp.com/legislations/14335</v>
      </c>
      <c r="H14" s="1" t="s">
        <v>18</v>
      </c>
      <c r="I14" s="1" t="s">
        <v>30</v>
      </c>
      <c r="J14" s="1" t="s">
        <v>31</v>
      </c>
      <c r="K14" s="5">
        <v>44889.0</v>
      </c>
      <c r="L14" s="5">
        <v>44889.0</v>
      </c>
      <c r="M14" s="5">
        <v>44894.0</v>
      </c>
      <c r="N14" s="1" t="s">
        <v>29</v>
      </c>
    </row>
    <row r="15">
      <c r="A15" s="1" t="s">
        <v>24</v>
      </c>
      <c r="B15" s="1" t="s">
        <v>25</v>
      </c>
      <c r="C15" s="1" t="s">
        <v>33</v>
      </c>
      <c r="D15" s="1" t="s">
        <v>26</v>
      </c>
      <c r="E15" s="1" t="str">
        <f>Vlookup(C15,'Oil &amp; Gas Documents - Canada'!F:N,9,FALSE)</f>
        <v>#N/A</v>
      </c>
      <c r="F15" s="1" t="s">
        <v>32</v>
      </c>
      <c r="G15" s="4" t="str">
        <f>HYPERLINK("http://nimonikapp.com/legislations/100","http://nimonikapp.com/legislations/100")</f>
        <v>http://nimonikapp.com/legislations/100</v>
      </c>
      <c r="H15" s="1" t="s">
        <v>18</v>
      </c>
      <c r="I15" s="1" t="s">
        <v>30</v>
      </c>
      <c r="J15" s="1" t="s">
        <v>31</v>
      </c>
      <c r="K15" s="5">
        <v>44889.0</v>
      </c>
      <c r="L15" s="5">
        <v>44889.0</v>
      </c>
      <c r="M15" s="5">
        <v>44894.0</v>
      </c>
      <c r="N15" s="1" t="s">
        <v>29</v>
      </c>
    </row>
    <row r="16">
      <c r="A16" s="1" t="s">
        <v>24</v>
      </c>
      <c r="B16" s="1" t="s">
        <v>25</v>
      </c>
      <c r="C16" s="1" t="s">
        <v>35</v>
      </c>
      <c r="D16" s="1" t="s">
        <v>26</v>
      </c>
      <c r="E16" s="1" t="str">
        <f>Vlookup(C16,'Oil &amp; Gas Documents - Canada'!F:N,9,FALSE)</f>
        <v>#N/A</v>
      </c>
      <c r="F16" s="1" t="s">
        <v>34</v>
      </c>
      <c r="G16" s="4" t="str">
        <f>HYPERLINK("http://nimonikapp.com/legislations/10220","http://nimonikapp.com/legislations/10220")</f>
        <v>http://nimonikapp.com/legislations/10220</v>
      </c>
      <c r="H16" s="1" t="s">
        <v>18</v>
      </c>
      <c r="I16" s="1" t="s">
        <v>30</v>
      </c>
      <c r="J16" s="1" t="s">
        <v>31</v>
      </c>
      <c r="K16" s="5">
        <v>44889.0</v>
      </c>
      <c r="L16" s="5">
        <v>44889.0</v>
      </c>
      <c r="M16" s="5">
        <v>44894.0</v>
      </c>
      <c r="N16" s="1" t="s">
        <v>29</v>
      </c>
    </row>
    <row r="17">
      <c r="A17" s="1" t="s">
        <v>24</v>
      </c>
      <c r="B17" s="1" t="s">
        <v>25</v>
      </c>
      <c r="C17" s="1" t="s">
        <v>37</v>
      </c>
      <c r="D17" s="1" t="s">
        <v>26</v>
      </c>
      <c r="E17" s="1" t="str">
        <f>Vlookup(C17,'Oil &amp; Gas Documents - Canada'!F:N,9,FALSE)</f>
        <v>#N/A</v>
      </c>
      <c r="F17" s="1" t="s">
        <v>36</v>
      </c>
      <c r="G17" s="4" t="str">
        <f>HYPERLINK("http://nimonikapp.com/legislations/6763","http://nimonikapp.com/legislations/6763")</f>
        <v>http://nimonikapp.com/legislations/6763</v>
      </c>
      <c r="H17" s="1" t="s">
        <v>18</v>
      </c>
      <c r="I17" s="1" t="s">
        <v>30</v>
      </c>
      <c r="J17" s="1" t="s">
        <v>31</v>
      </c>
      <c r="K17" s="5">
        <v>44889.0</v>
      </c>
      <c r="L17" s="5">
        <v>44889.0</v>
      </c>
      <c r="M17" s="5">
        <v>44894.0</v>
      </c>
      <c r="N17" s="1" t="s">
        <v>29</v>
      </c>
    </row>
    <row r="18" hidden="1">
      <c r="A18" s="1" t="s">
        <v>24</v>
      </c>
      <c r="B18" s="1" t="s">
        <v>25</v>
      </c>
      <c r="C18" s="1" t="s">
        <v>829</v>
      </c>
      <c r="D18" s="1" t="str">
        <f>Vlookup(C18,'Oil &amp; Gas Documents - Canada'!F:M,2,FALSE)</f>
        <v>#N/A</v>
      </c>
      <c r="E18" s="1" t="str">
        <f>Vlookup(C18,'Oil &amp; Gas Documents - Canada'!F:N,9,FALSE)</f>
        <v>#N/A</v>
      </c>
      <c r="F18" s="1" t="s">
        <v>830</v>
      </c>
      <c r="G18" s="4" t="str">
        <f>HYPERLINK("http://nimonikapp.com/legislations/122772","http://nimonikapp.com/legislations/122772")</f>
        <v>http://nimonikapp.com/legislations/122772</v>
      </c>
      <c r="H18" s="1" t="s">
        <v>18</v>
      </c>
      <c r="I18" s="1" t="s">
        <v>30</v>
      </c>
      <c r="J18" s="1" t="s">
        <v>31</v>
      </c>
      <c r="K18" s="5">
        <v>44889.0</v>
      </c>
      <c r="L18" s="5">
        <v>44889.0</v>
      </c>
      <c r="M18" s="5">
        <v>44894.0</v>
      </c>
      <c r="N18" s="1" t="s">
        <v>831</v>
      </c>
    </row>
    <row r="19">
      <c r="A19" s="1" t="s">
        <v>24</v>
      </c>
      <c r="B19" s="1" t="s">
        <v>25</v>
      </c>
      <c r="C19" s="1" t="s">
        <v>39</v>
      </c>
      <c r="D19" s="1" t="s">
        <v>26</v>
      </c>
      <c r="E19" s="1" t="str">
        <f>Vlookup(C19,'Oil &amp; Gas Documents - Canada'!F:N,9,FALSE)</f>
        <v>#N/A</v>
      </c>
      <c r="F19" s="1" t="s">
        <v>38</v>
      </c>
      <c r="G19" s="4" t="str">
        <f>HYPERLINK("http://nimonikapp.com/legislations/93","http://nimonikapp.com/legislations/93")</f>
        <v>http://nimonikapp.com/legislations/93</v>
      </c>
      <c r="H19" s="1" t="s">
        <v>18</v>
      </c>
      <c r="I19" s="1" t="s">
        <v>30</v>
      </c>
      <c r="J19" s="1" t="s">
        <v>31</v>
      </c>
      <c r="K19" s="5">
        <v>44889.0</v>
      </c>
      <c r="L19" s="5">
        <v>44889.0</v>
      </c>
      <c r="M19" s="5">
        <v>44894.0</v>
      </c>
      <c r="N19" s="1" t="s">
        <v>29</v>
      </c>
    </row>
    <row r="20">
      <c r="A20" s="1" t="s">
        <v>24</v>
      </c>
      <c r="B20" s="1" t="s">
        <v>25</v>
      </c>
      <c r="C20" s="1" t="s">
        <v>41</v>
      </c>
      <c r="D20" s="1" t="s">
        <v>26</v>
      </c>
      <c r="E20" s="1" t="str">
        <f>Vlookup(C20,'Oil &amp; Gas Documents - Canada'!F:N,9,FALSE)</f>
        <v>#N/A</v>
      </c>
      <c r="F20" s="1" t="s">
        <v>40</v>
      </c>
      <c r="G20" s="4" t="str">
        <f>HYPERLINK("http://nimonikapp.com/legislations/90","http://nimonikapp.com/legislations/90")</f>
        <v>http://nimonikapp.com/legislations/90</v>
      </c>
      <c r="H20" s="1" t="s">
        <v>18</v>
      </c>
      <c r="I20" s="1" t="s">
        <v>30</v>
      </c>
      <c r="J20" s="1" t="s">
        <v>31</v>
      </c>
      <c r="K20" s="5">
        <v>44889.0</v>
      </c>
      <c r="L20" s="5">
        <v>44889.0</v>
      </c>
      <c r="M20" s="5">
        <v>44894.0</v>
      </c>
      <c r="N20" s="1" t="s">
        <v>29</v>
      </c>
    </row>
    <row r="21">
      <c r="A21" s="1" t="s">
        <v>24</v>
      </c>
      <c r="B21" s="1" t="s">
        <v>25</v>
      </c>
      <c r="C21" s="1" t="s">
        <v>43</v>
      </c>
      <c r="D21" s="1" t="s">
        <v>26</v>
      </c>
      <c r="E21" s="1" t="str">
        <f>Vlookup(C21,'Oil &amp; Gas Documents - Canada'!F:N,9,FALSE)</f>
        <v>#N/A</v>
      </c>
      <c r="F21" s="1" t="s">
        <v>42</v>
      </c>
      <c r="G21" s="4" t="str">
        <f>HYPERLINK("http://nimonikapp.com/legislations/10231","http://nimonikapp.com/legislations/10231")</f>
        <v>http://nimonikapp.com/legislations/10231</v>
      </c>
      <c r="H21" s="1" t="s">
        <v>18</v>
      </c>
      <c r="I21" s="1" t="s">
        <v>30</v>
      </c>
      <c r="J21" s="1" t="s">
        <v>31</v>
      </c>
      <c r="K21" s="5">
        <v>44889.0</v>
      </c>
      <c r="L21" s="5">
        <v>44889.0</v>
      </c>
      <c r="M21" s="5">
        <v>44894.0</v>
      </c>
      <c r="N21" s="1" t="s">
        <v>29</v>
      </c>
    </row>
    <row r="22">
      <c r="A22" s="1" t="s">
        <v>24</v>
      </c>
      <c r="B22" s="1" t="s">
        <v>25</v>
      </c>
      <c r="C22" s="1" t="s">
        <v>45</v>
      </c>
      <c r="D22" s="1" t="s">
        <v>26</v>
      </c>
      <c r="E22" s="1" t="str">
        <f>Vlookup(C22,'Oil &amp; Gas Documents - Canada'!F:N,9,FALSE)</f>
        <v>#N/A</v>
      </c>
      <c r="F22" s="1" t="s">
        <v>44</v>
      </c>
      <c r="G22" s="4" t="str">
        <f>HYPERLINK("http://nimonikapp.com/legislations/86","http://nimonikapp.com/legislations/86")</f>
        <v>http://nimonikapp.com/legislations/86</v>
      </c>
      <c r="H22" s="1" t="s">
        <v>18</v>
      </c>
      <c r="I22" s="1" t="s">
        <v>30</v>
      </c>
      <c r="J22" s="1" t="s">
        <v>31</v>
      </c>
      <c r="K22" s="5">
        <v>44889.0</v>
      </c>
      <c r="L22" s="5">
        <v>44889.0</v>
      </c>
      <c r="M22" s="5">
        <v>44894.0</v>
      </c>
      <c r="N22" s="1" t="s">
        <v>29</v>
      </c>
    </row>
    <row r="23">
      <c r="A23" s="1" t="s">
        <v>24</v>
      </c>
      <c r="B23" s="1" t="s">
        <v>25</v>
      </c>
      <c r="C23" s="1" t="s">
        <v>47</v>
      </c>
      <c r="D23" s="1" t="s">
        <v>26</v>
      </c>
      <c r="E23" s="1" t="str">
        <f>Vlookup(C23,'Oil &amp; Gas Documents - Canada'!F:N,9,FALSE)</f>
        <v>#N/A</v>
      </c>
      <c r="F23" s="1" t="s">
        <v>46</v>
      </c>
      <c r="G23" s="4" t="str">
        <f>HYPERLINK("http://nimonikapp.com/legislations/85","http://nimonikapp.com/legislations/85")</f>
        <v>http://nimonikapp.com/legislations/85</v>
      </c>
      <c r="H23" s="1" t="s">
        <v>18</v>
      </c>
      <c r="I23" s="1" t="s">
        <v>30</v>
      </c>
      <c r="J23" s="1" t="s">
        <v>31</v>
      </c>
      <c r="K23" s="5">
        <v>44889.0</v>
      </c>
      <c r="L23" s="5">
        <v>44889.0</v>
      </c>
      <c r="M23" s="5">
        <v>44894.0</v>
      </c>
      <c r="N23" s="1" t="s">
        <v>29</v>
      </c>
    </row>
    <row r="24">
      <c r="A24" s="1" t="s">
        <v>24</v>
      </c>
      <c r="B24" s="1" t="s">
        <v>25</v>
      </c>
      <c r="C24" s="1" t="s">
        <v>49</v>
      </c>
      <c r="D24" s="1" t="s">
        <v>26</v>
      </c>
      <c r="E24" s="1" t="str">
        <f>Vlookup(C24,'Oil &amp; Gas Documents - Canada'!F:N,9,FALSE)</f>
        <v>#N/A</v>
      </c>
      <c r="F24" s="1" t="s">
        <v>48</v>
      </c>
      <c r="G24" s="4" t="str">
        <f>HYPERLINK("http://nimonikapp.com/legislations/51","http://nimonikapp.com/legislations/51")</f>
        <v>http://nimonikapp.com/legislations/51</v>
      </c>
      <c r="H24" s="1" t="s">
        <v>18</v>
      </c>
      <c r="I24" s="1" t="s">
        <v>30</v>
      </c>
      <c r="J24" s="1" t="s">
        <v>31</v>
      </c>
      <c r="K24" s="5">
        <v>44889.0</v>
      </c>
      <c r="L24" s="5">
        <v>44889.0</v>
      </c>
      <c r="M24" s="5">
        <v>44894.0</v>
      </c>
      <c r="N24" s="1" t="s">
        <v>29</v>
      </c>
    </row>
    <row r="25" hidden="1">
      <c r="A25" s="1" t="s">
        <v>24</v>
      </c>
      <c r="B25" s="1" t="s">
        <v>25</v>
      </c>
      <c r="C25" s="1" t="s">
        <v>832</v>
      </c>
      <c r="D25" s="1" t="str">
        <f>Vlookup(C25,'Oil &amp; Gas Documents - Canada'!F:M,2,FALSE)</f>
        <v>#N/A</v>
      </c>
      <c r="E25" s="1" t="str">
        <f>Vlookup(C25,'Oil &amp; Gas Documents - Canada'!F:N,9,FALSE)</f>
        <v>#N/A</v>
      </c>
      <c r="F25" s="1" t="s">
        <v>833</v>
      </c>
      <c r="G25" s="4" t="str">
        <f>HYPERLINK("http://nimonikapp.com/legislations/287009","http://nimonikapp.com/legislations/287009")</f>
        <v>http://nimonikapp.com/legislations/287009</v>
      </c>
      <c r="H25" s="1" t="s">
        <v>52</v>
      </c>
      <c r="I25" s="1" t="s">
        <v>817</v>
      </c>
      <c r="J25" s="1" t="s">
        <v>818</v>
      </c>
      <c r="K25" s="5">
        <v>44889.0</v>
      </c>
      <c r="M25" s="5">
        <v>44894.0</v>
      </c>
      <c r="N25" s="1" t="s">
        <v>828</v>
      </c>
    </row>
    <row r="26">
      <c r="A26" s="1" t="s">
        <v>24</v>
      </c>
      <c r="B26" s="1" t="s">
        <v>25</v>
      </c>
      <c r="C26" s="1" t="s">
        <v>51</v>
      </c>
      <c r="D26" s="1" t="s">
        <v>26</v>
      </c>
      <c r="E26" s="1" t="str">
        <f>Vlookup(C26,'Oil &amp; Gas Documents - Canada'!F:N,9,FALSE)</f>
        <v>#N/A</v>
      </c>
      <c r="F26" s="1" t="s">
        <v>50</v>
      </c>
      <c r="G26" s="4" t="str">
        <f>HYPERLINK("http://nimonikapp.com/legislations/124721","http://nimonikapp.com/legislations/124721")</f>
        <v>http://nimonikapp.com/legislations/124721</v>
      </c>
      <c r="H26" s="1" t="s">
        <v>52</v>
      </c>
      <c r="I26" s="1" t="s">
        <v>30</v>
      </c>
      <c r="J26" s="1" t="s">
        <v>31</v>
      </c>
      <c r="K26" s="5">
        <v>44889.0</v>
      </c>
      <c r="L26" s="5">
        <v>44889.0</v>
      </c>
      <c r="M26" s="5">
        <v>44894.0</v>
      </c>
      <c r="N26" s="1" t="s">
        <v>29</v>
      </c>
    </row>
    <row r="27" hidden="1">
      <c r="A27" s="1" t="s">
        <v>70</v>
      </c>
      <c r="B27" s="1" t="s">
        <v>25</v>
      </c>
      <c r="C27" s="1" t="s">
        <v>834</v>
      </c>
      <c r="D27" s="1" t="str">
        <f>Vlookup(C27,'Oil &amp; Gas Documents - Canada'!F:M,2,FALSE)</f>
        <v>#N/A</v>
      </c>
      <c r="E27" s="1" t="str">
        <f>Vlookup(C27,'Oil &amp; Gas Documents - Canada'!F:N,9,FALSE)</f>
        <v>#N/A</v>
      </c>
      <c r="F27" s="1" t="s">
        <v>835</v>
      </c>
      <c r="G27" s="4" t="str">
        <f>HYPERLINK("http://nimonikapp.com/legislations/109879","http://nimonikapp.com/legislations/109879")</f>
        <v>http://nimonikapp.com/legislations/109879</v>
      </c>
      <c r="H27" s="1" t="s">
        <v>18</v>
      </c>
      <c r="I27" s="1" t="s">
        <v>836</v>
      </c>
      <c r="J27" s="1" t="s">
        <v>837</v>
      </c>
      <c r="K27" s="5">
        <v>44905.0</v>
      </c>
      <c r="L27" s="5">
        <v>44933.0</v>
      </c>
      <c r="M27" s="5">
        <v>44894.0</v>
      </c>
      <c r="N27" s="1" t="s">
        <v>838</v>
      </c>
    </row>
    <row r="28" hidden="1">
      <c r="A28" s="1" t="s">
        <v>53</v>
      </c>
      <c r="B28" s="1" t="s">
        <v>25</v>
      </c>
      <c r="C28" s="1" t="s">
        <v>839</v>
      </c>
      <c r="D28" s="1" t="str">
        <f>Vlookup(C28,'Oil &amp; Gas Documents - Canada'!F:M,2,FALSE)</f>
        <v>#N/A</v>
      </c>
      <c r="E28" s="1" t="str">
        <f>Vlookup(C28,'Oil &amp; Gas Documents - Canada'!F:N,9,FALSE)</f>
        <v>#N/A</v>
      </c>
      <c r="F28" s="1" t="s">
        <v>840</v>
      </c>
      <c r="G28" s="4" t="str">
        <f>HYPERLINK("http://nimonikapp.com/legislations/364203","http://nimonikapp.com/legislations/364203")</f>
        <v>http://nimonikapp.com/legislations/364203</v>
      </c>
      <c r="H28" s="1" t="s">
        <v>18</v>
      </c>
      <c r="I28" s="1" t="s">
        <v>841</v>
      </c>
      <c r="J28" s="1" t="s">
        <v>842</v>
      </c>
      <c r="K28" s="5">
        <v>44757.0</v>
      </c>
      <c r="L28" s="5">
        <v>44747.0</v>
      </c>
      <c r="M28" s="5">
        <v>44894.0</v>
      </c>
    </row>
    <row r="29">
      <c r="A29" s="1" t="s">
        <v>53</v>
      </c>
      <c r="B29" s="1" t="s">
        <v>25</v>
      </c>
      <c r="C29" s="1" t="s">
        <v>55</v>
      </c>
      <c r="D29" s="1" t="s">
        <v>26</v>
      </c>
      <c r="E29" s="1" t="str">
        <f>Vlookup(C29,'Oil &amp; Gas Documents - Canada'!F:N,9,FALSE)</f>
        <v>#N/A</v>
      </c>
      <c r="F29" s="1" t="s">
        <v>54</v>
      </c>
      <c r="G29" s="4" t="str">
        <f>HYPERLINK("http://nimonikapp.com/legislations/364205","http://nimonikapp.com/legislations/364205")</f>
        <v>http://nimonikapp.com/legislations/364205</v>
      </c>
      <c r="H29" s="1" t="s">
        <v>18</v>
      </c>
      <c r="I29" s="1" t="s">
        <v>56</v>
      </c>
      <c r="J29" s="1" t="s">
        <v>57</v>
      </c>
      <c r="K29" s="5">
        <v>44757.0</v>
      </c>
      <c r="L29" s="5">
        <v>44748.0</v>
      </c>
      <c r="M29" s="5">
        <v>44894.0</v>
      </c>
    </row>
    <row r="30" hidden="1">
      <c r="A30" s="1" t="s">
        <v>53</v>
      </c>
      <c r="B30" s="1" t="s">
        <v>25</v>
      </c>
      <c r="C30" s="1" t="s">
        <v>843</v>
      </c>
      <c r="D30" s="1" t="str">
        <f>Vlookup(C30,'Oil &amp; Gas Documents - Canada'!F:M,2,FALSE)</f>
        <v>#N/A</v>
      </c>
      <c r="E30" s="1" t="str">
        <f>Vlookup(C30,'Oil &amp; Gas Documents - Canada'!F:N,9,FALSE)</f>
        <v>#N/A</v>
      </c>
      <c r="F30" s="1" t="s">
        <v>844</v>
      </c>
      <c r="G30" s="4" t="str">
        <f>HYPERLINK("http://nimonikapp.com/legislations/364204","http://nimonikapp.com/legislations/364204")</f>
        <v>http://nimonikapp.com/legislations/364204</v>
      </c>
      <c r="H30" s="1" t="s">
        <v>18</v>
      </c>
      <c r="I30" s="1" t="s">
        <v>845</v>
      </c>
      <c r="J30" s="1" t="s">
        <v>846</v>
      </c>
      <c r="K30" s="5">
        <v>44757.0</v>
      </c>
      <c r="L30" s="5">
        <v>44748.0</v>
      </c>
      <c r="M30" s="5">
        <v>44894.0</v>
      </c>
    </row>
    <row r="31" hidden="1">
      <c r="A31" s="1" t="s">
        <v>53</v>
      </c>
      <c r="B31" s="1" t="s">
        <v>25</v>
      </c>
      <c r="C31" s="1" t="s">
        <v>847</v>
      </c>
      <c r="D31" s="1" t="str">
        <f>Vlookup(C31,'Oil &amp; Gas Documents - Canada'!F:M,2,FALSE)</f>
        <v>#N/A</v>
      </c>
      <c r="E31" s="1" t="str">
        <f>Vlookup(C31,'Oil &amp; Gas Documents - Canada'!F:N,9,FALSE)</f>
        <v>#N/A</v>
      </c>
      <c r="F31" s="1" t="s">
        <v>848</v>
      </c>
      <c r="G31" s="4" t="str">
        <f>HYPERLINK("http://nimonikapp.com/legislations/378119","http://nimonikapp.com/legislations/378119")</f>
        <v>http://nimonikapp.com/legislations/378119</v>
      </c>
      <c r="H31" s="1" t="s">
        <v>18</v>
      </c>
      <c r="I31" s="1" t="s">
        <v>849</v>
      </c>
      <c r="J31" s="1" t="s">
        <v>850</v>
      </c>
      <c r="K31" s="5">
        <v>44757.0</v>
      </c>
      <c r="L31" s="5">
        <v>44748.0</v>
      </c>
      <c r="M31" s="5">
        <v>44894.0</v>
      </c>
    </row>
    <row r="32">
      <c r="A32" s="1" t="s">
        <v>53</v>
      </c>
      <c r="B32" s="1" t="s">
        <v>25</v>
      </c>
      <c r="C32" s="1" t="s">
        <v>59</v>
      </c>
      <c r="D32" s="1" t="s">
        <v>26</v>
      </c>
      <c r="E32" s="1" t="str">
        <f>Vlookup(C32,'Oil &amp; Gas Documents - Canada'!F:N,9,FALSE)</f>
        <v>#N/A</v>
      </c>
      <c r="F32" s="1" t="s">
        <v>58</v>
      </c>
      <c r="G32" s="4" t="str">
        <f>HYPERLINK("http://nimonikapp.com/legislations/364211","http://nimonikapp.com/legislations/364211")</f>
        <v>http://nimonikapp.com/legislations/364211</v>
      </c>
      <c r="H32" s="1" t="s">
        <v>18</v>
      </c>
      <c r="I32" s="1" t="s">
        <v>60</v>
      </c>
      <c r="J32" s="1" t="s">
        <v>61</v>
      </c>
      <c r="K32" s="5">
        <v>44757.0</v>
      </c>
      <c r="L32" s="5">
        <v>44748.0</v>
      </c>
      <c r="M32" s="5">
        <v>44894.0</v>
      </c>
    </row>
    <row r="33" hidden="1">
      <c r="A33" s="1" t="s">
        <v>53</v>
      </c>
      <c r="B33" s="1" t="s">
        <v>25</v>
      </c>
      <c r="C33" s="1" t="s">
        <v>851</v>
      </c>
      <c r="D33" s="1" t="str">
        <f>Vlookup(C33,'Oil &amp; Gas Documents - Canada'!F:M,2,FALSE)</f>
        <v>#N/A</v>
      </c>
      <c r="E33" s="1" t="str">
        <f>Vlookup(C33,'Oil &amp; Gas Documents - Canada'!F:N,9,FALSE)</f>
        <v>#N/A</v>
      </c>
      <c r="F33" s="1" t="s">
        <v>852</v>
      </c>
      <c r="G33" s="4" t="str">
        <f>HYPERLINK("http://nimonikapp.com/legislations/364210","http://nimonikapp.com/legislations/364210")</f>
        <v>http://nimonikapp.com/legislations/364210</v>
      </c>
      <c r="H33" s="1" t="s">
        <v>18</v>
      </c>
      <c r="I33" s="1" t="s">
        <v>853</v>
      </c>
      <c r="J33" s="1" t="s">
        <v>854</v>
      </c>
      <c r="K33" s="5">
        <v>44757.0</v>
      </c>
      <c r="L33" s="5">
        <v>44748.0</v>
      </c>
      <c r="M33" s="5">
        <v>44894.0</v>
      </c>
    </row>
    <row r="34" hidden="1">
      <c r="A34" s="1" t="s">
        <v>53</v>
      </c>
      <c r="B34" s="1" t="s">
        <v>25</v>
      </c>
      <c r="C34" s="1" t="s">
        <v>855</v>
      </c>
      <c r="D34" s="1" t="str">
        <f>Vlookup(C34,'Oil &amp; Gas Documents - Canada'!F:M,2,FALSE)</f>
        <v>#N/A</v>
      </c>
      <c r="E34" s="1" t="str">
        <f>Vlookup(C34,'Oil &amp; Gas Documents - Canada'!F:N,9,FALSE)</f>
        <v>#N/A</v>
      </c>
      <c r="F34" s="1" t="s">
        <v>856</v>
      </c>
      <c r="G34" s="4" t="str">
        <f>HYPERLINK("http://nimonikapp.com/legislations/366388","http://nimonikapp.com/legislations/366388")</f>
        <v>http://nimonikapp.com/legislations/366388</v>
      </c>
      <c r="H34" s="1" t="s">
        <v>18</v>
      </c>
      <c r="I34" s="1" t="s">
        <v>857</v>
      </c>
      <c r="J34" s="1" t="s">
        <v>858</v>
      </c>
      <c r="K34" s="5">
        <v>44757.0</v>
      </c>
      <c r="L34" s="5">
        <v>44748.0</v>
      </c>
      <c r="M34" s="5">
        <v>44894.0</v>
      </c>
    </row>
    <row r="35" hidden="1">
      <c r="A35" s="1" t="s">
        <v>53</v>
      </c>
      <c r="B35" s="1" t="s">
        <v>25</v>
      </c>
      <c r="C35" s="1" t="s">
        <v>859</v>
      </c>
      <c r="D35" s="1" t="str">
        <f>Vlookup(C35,'Oil &amp; Gas Documents - Canada'!F:M,2,FALSE)</f>
        <v>#N/A</v>
      </c>
      <c r="E35" s="1" t="str">
        <f>Vlookup(C35,'Oil &amp; Gas Documents - Canada'!F:N,9,FALSE)</f>
        <v>#N/A</v>
      </c>
      <c r="F35" s="1" t="s">
        <v>860</v>
      </c>
      <c r="G35" s="4" t="str">
        <f>HYPERLINK("http://nimonikapp.com/legislations/364208","http://nimonikapp.com/legislations/364208")</f>
        <v>http://nimonikapp.com/legislations/364208</v>
      </c>
      <c r="H35" s="1" t="s">
        <v>18</v>
      </c>
      <c r="I35" s="1" t="s">
        <v>861</v>
      </c>
      <c r="J35" s="1" t="s">
        <v>862</v>
      </c>
      <c r="K35" s="5">
        <v>44757.0</v>
      </c>
      <c r="L35" s="5">
        <v>44748.0</v>
      </c>
      <c r="M35" s="5">
        <v>44894.0</v>
      </c>
    </row>
    <row r="36" hidden="1">
      <c r="A36" s="1" t="s">
        <v>53</v>
      </c>
      <c r="B36" s="1" t="s">
        <v>25</v>
      </c>
      <c r="C36" s="1" t="s">
        <v>863</v>
      </c>
      <c r="D36" s="1" t="str">
        <f>Vlookup(C36,'Oil &amp; Gas Documents - Canada'!F:M,2,FALSE)</f>
        <v>#N/A</v>
      </c>
      <c r="E36" s="1" t="str">
        <f>Vlookup(C36,'Oil &amp; Gas Documents - Canada'!F:N,9,FALSE)</f>
        <v>#N/A</v>
      </c>
      <c r="F36" s="1" t="s">
        <v>864</v>
      </c>
      <c r="G36" s="4" t="str">
        <f>HYPERLINK("http://nimonikapp.com/legislations/366604","http://nimonikapp.com/legislations/366604")</f>
        <v>http://nimonikapp.com/legislations/366604</v>
      </c>
      <c r="H36" s="1" t="s">
        <v>18</v>
      </c>
      <c r="I36" s="1" t="s">
        <v>865</v>
      </c>
      <c r="J36" s="1" t="s">
        <v>866</v>
      </c>
      <c r="K36" s="5">
        <v>44757.0</v>
      </c>
      <c r="L36" s="5">
        <v>44748.0</v>
      </c>
      <c r="M36" s="5">
        <v>44894.0</v>
      </c>
    </row>
    <row r="37" hidden="1">
      <c r="A37" s="1" t="s">
        <v>53</v>
      </c>
      <c r="B37" s="1" t="s">
        <v>25</v>
      </c>
      <c r="C37" s="1" t="s">
        <v>867</v>
      </c>
      <c r="D37" s="1" t="str">
        <f>Vlookup(C37,'Oil &amp; Gas Documents - Canada'!F:M,2,FALSE)</f>
        <v>#N/A</v>
      </c>
      <c r="E37" s="1" t="str">
        <f>Vlookup(C37,'Oil &amp; Gas Documents - Canada'!F:N,9,FALSE)</f>
        <v>#N/A</v>
      </c>
      <c r="F37" s="1" t="s">
        <v>868</v>
      </c>
      <c r="G37" s="4" t="str">
        <f>HYPERLINK("http://nimonikapp.com/legislations/364231","http://nimonikapp.com/legislations/364231")</f>
        <v>http://nimonikapp.com/legislations/364231</v>
      </c>
      <c r="H37" s="1" t="s">
        <v>18</v>
      </c>
      <c r="I37" s="1" t="s">
        <v>869</v>
      </c>
      <c r="J37" s="1" t="s">
        <v>870</v>
      </c>
      <c r="K37" s="5">
        <v>44757.0</v>
      </c>
      <c r="L37" s="5">
        <v>44748.0</v>
      </c>
      <c r="M37" s="5">
        <v>44894.0</v>
      </c>
    </row>
    <row r="38" hidden="1">
      <c r="A38" s="1" t="s">
        <v>53</v>
      </c>
      <c r="B38" s="1" t="s">
        <v>25</v>
      </c>
      <c r="C38" s="1" t="s">
        <v>871</v>
      </c>
      <c r="D38" s="1" t="str">
        <f>Vlookup(C38,'Oil &amp; Gas Documents - Canada'!F:M,2,FALSE)</f>
        <v>#N/A</v>
      </c>
      <c r="E38" s="1" t="str">
        <f>Vlookup(C38,'Oil &amp; Gas Documents - Canada'!F:N,9,FALSE)</f>
        <v>#N/A</v>
      </c>
      <c r="F38" s="1" t="s">
        <v>872</v>
      </c>
      <c r="G38" s="4" t="str">
        <f>HYPERLINK("http://nimonikapp.com/legislations/364206","http://nimonikapp.com/legislations/364206")</f>
        <v>http://nimonikapp.com/legislations/364206</v>
      </c>
      <c r="H38" s="1" t="s">
        <v>18</v>
      </c>
      <c r="I38" s="1" t="s">
        <v>873</v>
      </c>
      <c r="J38" s="1" t="s">
        <v>874</v>
      </c>
      <c r="K38" s="5">
        <v>44757.0</v>
      </c>
      <c r="L38" s="5">
        <v>44748.0</v>
      </c>
      <c r="M38" s="5">
        <v>44894.0</v>
      </c>
    </row>
    <row r="39" hidden="1">
      <c r="A39" s="1" t="s">
        <v>53</v>
      </c>
      <c r="B39" s="1" t="s">
        <v>25</v>
      </c>
      <c r="C39" s="1" t="s">
        <v>875</v>
      </c>
      <c r="D39" s="1" t="str">
        <f>Vlookup(C39,'Oil &amp; Gas Documents - Canada'!F:M,2,FALSE)</f>
        <v>#N/A</v>
      </c>
      <c r="E39" s="1" t="str">
        <f>Vlookup(C39,'Oil &amp; Gas Documents - Canada'!F:N,9,FALSE)</f>
        <v>#N/A</v>
      </c>
      <c r="F39" s="1" t="s">
        <v>876</v>
      </c>
      <c r="G39" s="4" t="str">
        <f>HYPERLINK("http://nimonikapp.com/legislations/378120","http://nimonikapp.com/legislations/378120")</f>
        <v>http://nimonikapp.com/legislations/378120</v>
      </c>
      <c r="H39" s="1" t="s">
        <v>18</v>
      </c>
      <c r="I39" s="1" t="s">
        <v>877</v>
      </c>
      <c r="J39" s="1" t="s">
        <v>878</v>
      </c>
      <c r="K39" s="5">
        <v>44757.0</v>
      </c>
      <c r="L39" s="5">
        <v>44748.0</v>
      </c>
      <c r="M39" s="5">
        <v>44894.0</v>
      </c>
    </row>
    <row r="40" hidden="1">
      <c r="A40" s="1" t="s">
        <v>53</v>
      </c>
      <c r="B40" s="1" t="s">
        <v>25</v>
      </c>
      <c r="C40" s="1" t="s">
        <v>879</v>
      </c>
      <c r="D40" s="1" t="str">
        <f>Vlookup(C40,'Oil &amp; Gas Documents - Canada'!F:M,2,FALSE)</f>
        <v>#N/A</v>
      </c>
      <c r="E40" s="1" t="str">
        <f>Vlookup(C40,'Oil &amp; Gas Documents - Canada'!F:N,9,FALSE)</f>
        <v>#N/A</v>
      </c>
      <c r="F40" s="1" t="s">
        <v>880</v>
      </c>
      <c r="G40" s="4" t="str">
        <f>HYPERLINK("http://nimonikapp.com/legislations/364212","http://nimonikapp.com/legislations/364212")</f>
        <v>http://nimonikapp.com/legislations/364212</v>
      </c>
      <c r="H40" s="1" t="s">
        <v>18</v>
      </c>
      <c r="I40" s="1" t="s">
        <v>881</v>
      </c>
      <c r="J40" s="1" t="s">
        <v>882</v>
      </c>
      <c r="K40" s="5">
        <v>44757.0</v>
      </c>
      <c r="L40" s="5">
        <v>44748.0</v>
      </c>
      <c r="M40" s="5">
        <v>44894.0</v>
      </c>
    </row>
    <row r="41" hidden="1">
      <c r="A41" s="1" t="s">
        <v>53</v>
      </c>
      <c r="B41" s="1" t="s">
        <v>25</v>
      </c>
      <c r="C41" s="1" t="s">
        <v>883</v>
      </c>
      <c r="D41" s="1" t="str">
        <f>Vlookup(C41,'Oil &amp; Gas Documents - Canada'!F:M,2,FALSE)</f>
        <v>#N/A</v>
      </c>
      <c r="E41" s="1" t="str">
        <f>Vlookup(C41,'Oil &amp; Gas Documents - Canada'!F:N,9,FALSE)</f>
        <v>#N/A</v>
      </c>
      <c r="F41" s="1" t="s">
        <v>884</v>
      </c>
      <c r="G41" s="4" t="str">
        <f>HYPERLINK("http://nimonikapp.com/legislations/364214","http://nimonikapp.com/legislations/364214")</f>
        <v>http://nimonikapp.com/legislations/364214</v>
      </c>
      <c r="H41" s="1" t="s">
        <v>18</v>
      </c>
      <c r="I41" s="1" t="s">
        <v>885</v>
      </c>
      <c r="J41" s="1" t="s">
        <v>886</v>
      </c>
      <c r="K41" s="5">
        <v>44757.0</v>
      </c>
      <c r="L41" s="5">
        <v>44748.0</v>
      </c>
      <c r="M41" s="5">
        <v>44894.0</v>
      </c>
    </row>
    <row r="42" hidden="1">
      <c r="A42" s="1" t="s">
        <v>53</v>
      </c>
      <c r="B42" s="1" t="s">
        <v>25</v>
      </c>
      <c r="C42" s="1" t="s">
        <v>887</v>
      </c>
      <c r="D42" s="1" t="str">
        <f>Vlookup(C42,'Oil &amp; Gas Documents - Canada'!F:M,2,FALSE)</f>
        <v>#N/A</v>
      </c>
      <c r="E42" s="1" t="str">
        <f>Vlookup(C42,'Oil &amp; Gas Documents - Canada'!F:N,9,FALSE)</f>
        <v>#N/A</v>
      </c>
      <c r="F42" s="1" t="s">
        <v>888</v>
      </c>
      <c r="G42" s="4" t="str">
        <f>HYPERLINK("http://nimonikapp.com/legislations/364213","http://nimonikapp.com/legislations/364213")</f>
        <v>http://nimonikapp.com/legislations/364213</v>
      </c>
      <c r="H42" s="1" t="s">
        <v>18</v>
      </c>
      <c r="I42" s="1" t="s">
        <v>889</v>
      </c>
      <c r="J42" s="1" t="s">
        <v>890</v>
      </c>
      <c r="K42" s="5">
        <v>44757.0</v>
      </c>
      <c r="L42" s="5">
        <v>44748.0</v>
      </c>
      <c r="M42" s="5">
        <v>44894.0</v>
      </c>
    </row>
    <row r="43" hidden="1">
      <c r="A43" s="1" t="s">
        <v>53</v>
      </c>
      <c r="B43" s="1" t="s">
        <v>25</v>
      </c>
      <c r="C43" s="1" t="s">
        <v>891</v>
      </c>
      <c r="D43" s="1" t="str">
        <f>Vlookup(C43,'Oil &amp; Gas Documents - Canada'!F:M,2,FALSE)</f>
        <v>#N/A</v>
      </c>
      <c r="E43" s="1" t="str">
        <f>Vlookup(C43,'Oil &amp; Gas Documents - Canada'!F:N,9,FALSE)</f>
        <v>#N/A</v>
      </c>
      <c r="F43" s="1" t="s">
        <v>892</v>
      </c>
      <c r="G43" s="4" t="str">
        <f>HYPERLINK("http://nimonikapp.com/legislations/378134","http://nimonikapp.com/legislations/378134")</f>
        <v>http://nimonikapp.com/legislations/378134</v>
      </c>
      <c r="H43" s="1" t="s">
        <v>18</v>
      </c>
      <c r="I43" s="1" t="s">
        <v>893</v>
      </c>
      <c r="J43" s="1" t="s">
        <v>894</v>
      </c>
      <c r="K43" s="5">
        <v>44757.0</v>
      </c>
      <c r="L43" s="5">
        <v>44748.0</v>
      </c>
      <c r="M43" s="5">
        <v>44894.0</v>
      </c>
    </row>
    <row r="44" hidden="1">
      <c r="A44" s="1" t="s">
        <v>53</v>
      </c>
      <c r="B44" s="1" t="s">
        <v>25</v>
      </c>
      <c r="C44" s="1" t="s">
        <v>895</v>
      </c>
      <c r="D44" s="1" t="str">
        <f>Vlookup(C44,'Oil &amp; Gas Documents - Canada'!F:M,2,FALSE)</f>
        <v>#N/A</v>
      </c>
      <c r="E44" s="1" t="str">
        <f>Vlookup(C44,'Oil &amp; Gas Documents - Canada'!F:N,9,FALSE)</f>
        <v>#N/A</v>
      </c>
      <c r="F44" s="1" t="s">
        <v>896</v>
      </c>
      <c r="G44" s="4" t="str">
        <f>HYPERLINK("http://nimonikapp.com/legislations/378133","http://nimonikapp.com/legislations/378133")</f>
        <v>http://nimonikapp.com/legislations/378133</v>
      </c>
      <c r="H44" s="1" t="s">
        <v>18</v>
      </c>
      <c r="I44" s="1" t="s">
        <v>897</v>
      </c>
      <c r="J44" s="1" t="s">
        <v>898</v>
      </c>
      <c r="K44" s="5">
        <v>44757.0</v>
      </c>
      <c r="L44" s="5">
        <v>44748.0</v>
      </c>
      <c r="M44" s="5">
        <v>44894.0</v>
      </c>
    </row>
    <row r="45" hidden="1">
      <c r="A45" s="1" t="s">
        <v>53</v>
      </c>
      <c r="B45" s="1" t="s">
        <v>25</v>
      </c>
      <c r="C45" s="1" t="s">
        <v>899</v>
      </c>
      <c r="D45" s="1" t="str">
        <f>Vlookup(C45,'Oil &amp; Gas Documents - Canada'!F:M,2,FALSE)</f>
        <v>#N/A</v>
      </c>
      <c r="E45" s="1" t="str">
        <f>Vlookup(C45,'Oil &amp; Gas Documents - Canada'!F:N,9,FALSE)</f>
        <v>#N/A</v>
      </c>
      <c r="F45" s="1" t="s">
        <v>900</v>
      </c>
      <c r="G45" s="4" t="str">
        <f>HYPERLINK("http://nimonikapp.com/legislations/364221","http://nimonikapp.com/legislations/364221")</f>
        <v>http://nimonikapp.com/legislations/364221</v>
      </c>
      <c r="H45" s="1" t="s">
        <v>18</v>
      </c>
      <c r="I45" s="1" t="s">
        <v>901</v>
      </c>
      <c r="J45" s="1" t="s">
        <v>902</v>
      </c>
      <c r="K45" s="5">
        <v>44757.0</v>
      </c>
      <c r="L45" s="5">
        <v>44748.0</v>
      </c>
      <c r="M45" s="5">
        <v>44894.0</v>
      </c>
    </row>
    <row r="46" hidden="1">
      <c r="A46" s="1" t="s">
        <v>53</v>
      </c>
      <c r="B46" s="1" t="s">
        <v>25</v>
      </c>
      <c r="C46" s="1" t="s">
        <v>903</v>
      </c>
      <c r="D46" s="1" t="str">
        <f>Vlookup(C46,'Oil &amp; Gas Documents - Canada'!F:M,2,FALSE)</f>
        <v>#N/A</v>
      </c>
      <c r="E46" s="1" t="str">
        <f>Vlookup(C46,'Oil &amp; Gas Documents - Canada'!F:N,9,FALSE)</f>
        <v>#N/A</v>
      </c>
      <c r="F46" s="1" t="s">
        <v>904</v>
      </c>
      <c r="G46" s="4" t="str">
        <f>HYPERLINK("http://nimonikapp.com/legislations/364220","http://nimonikapp.com/legislations/364220")</f>
        <v>http://nimonikapp.com/legislations/364220</v>
      </c>
      <c r="H46" s="1" t="s">
        <v>18</v>
      </c>
      <c r="I46" s="1" t="s">
        <v>905</v>
      </c>
      <c r="J46" s="1" t="s">
        <v>906</v>
      </c>
      <c r="K46" s="5">
        <v>44757.0</v>
      </c>
      <c r="L46" s="5">
        <v>44748.0</v>
      </c>
      <c r="M46" s="5">
        <v>44894.0</v>
      </c>
    </row>
    <row r="47" hidden="1">
      <c r="A47" s="1" t="s">
        <v>53</v>
      </c>
      <c r="B47" s="1" t="s">
        <v>25</v>
      </c>
      <c r="C47" s="1" t="s">
        <v>907</v>
      </c>
      <c r="D47" s="1" t="str">
        <f>Vlookup(C47,'Oil &amp; Gas Documents - Canada'!F:M,2,FALSE)</f>
        <v>#N/A</v>
      </c>
      <c r="E47" s="1" t="str">
        <f>Vlookup(C47,'Oil &amp; Gas Documents - Canada'!F:N,9,FALSE)</f>
        <v>#N/A</v>
      </c>
      <c r="F47" s="1" t="s">
        <v>908</v>
      </c>
      <c r="G47" s="4" t="str">
        <f>HYPERLINK("http://nimonikapp.com/legislations/364219","http://nimonikapp.com/legislations/364219")</f>
        <v>http://nimonikapp.com/legislations/364219</v>
      </c>
      <c r="H47" s="1" t="s">
        <v>18</v>
      </c>
      <c r="I47" s="1" t="s">
        <v>909</v>
      </c>
      <c r="J47" s="1" t="s">
        <v>910</v>
      </c>
      <c r="K47" s="5">
        <v>44757.0</v>
      </c>
      <c r="L47" s="5">
        <v>44748.0</v>
      </c>
      <c r="M47" s="5">
        <v>44894.0</v>
      </c>
    </row>
    <row r="48" hidden="1">
      <c r="A48" s="1" t="s">
        <v>53</v>
      </c>
      <c r="B48" s="1" t="s">
        <v>25</v>
      </c>
      <c r="C48" s="1" t="s">
        <v>911</v>
      </c>
      <c r="D48" s="1" t="str">
        <f>Vlookup(C48,'Oil &amp; Gas Documents - Canada'!F:M,2,FALSE)</f>
        <v>#N/A</v>
      </c>
      <c r="E48" s="1" t="str">
        <f>Vlookup(C48,'Oil &amp; Gas Documents - Canada'!F:N,9,FALSE)</f>
        <v>#N/A</v>
      </c>
      <c r="F48" s="1" t="s">
        <v>912</v>
      </c>
      <c r="G48" s="4" t="str">
        <f>HYPERLINK("http://nimonikapp.com/legislations/364217","http://nimonikapp.com/legislations/364217")</f>
        <v>http://nimonikapp.com/legislations/364217</v>
      </c>
      <c r="H48" s="1" t="s">
        <v>18</v>
      </c>
      <c r="I48" s="1" t="s">
        <v>913</v>
      </c>
      <c r="J48" s="1" t="s">
        <v>914</v>
      </c>
      <c r="K48" s="5">
        <v>44757.0</v>
      </c>
      <c r="L48" s="5">
        <v>44748.0</v>
      </c>
      <c r="M48" s="5">
        <v>44894.0</v>
      </c>
    </row>
    <row r="49" hidden="1">
      <c r="A49" s="1" t="s">
        <v>53</v>
      </c>
      <c r="B49" s="1" t="s">
        <v>25</v>
      </c>
      <c r="C49" s="1" t="s">
        <v>915</v>
      </c>
      <c r="D49" s="1" t="str">
        <f>Vlookup(C49,'Oil &amp; Gas Documents - Canada'!F:M,2,FALSE)</f>
        <v>#N/A</v>
      </c>
      <c r="E49" s="1" t="str">
        <f>Vlookup(C49,'Oil &amp; Gas Documents - Canada'!F:N,9,FALSE)</f>
        <v>#N/A</v>
      </c>
      <c r="F49" s="1" t="s">
        <v>916</v>
      </c>
      <c r="G49" s="4" t="str">
        <f>HYPERLINK("http://nimonikapp.com/legislations/364216","http://nimonikapp.com/legislations/364216")</f>
        <v>http://nimonikapp.com/legislations/364216</v>
      </c>
      <c r="H49" s="1" t="s">
        <v>18</v>
      </c>
      <c r="I49" s="1" t="s">
        <v>917</v>
      </c>
      <c r="J49" s="1" t="s">
        <v>918</v>
      </c>
      <c r="K49" s="5">
        <v>44757.0</v>
      </c>
      <c r="L49" s="5">
        <v>44748.0</v>
      </c>
      <c r="M49" s="5">
        <v>44894.0</v>
      </c>
    </row>
    <row r="50" hidden="1">
      <c r="A50" s="1" t="s">
        <v>53</v>
      </c>
      <c r="B50" s="1" t="s">
        <v>25</v>
      </c>
      <c r="C50" s="1" t="s">
        <v>919</v>
      </c>
      <c r="D50" s="1" t="str">
        <f>Vlookup(C50,'Oil &amp; Gas Documents - Canada'!F:M,2,FALSE)</f>
        <v>#N/A</v>
      </c>
      <c r="E50" s="1" t="str">
        <f>Vlookup(C50,'Oil &amp; Gas Documents - Canada'!F:N,9,FALSE)</f>
        <v>#N/A</v>
      </c>
      <c r="F50" s="1" t="s">
        <v>920</v>
      </c>
      <c r="G50" s="4" t="str">
        <f>HYPERLINK("http://nimonikapp.com/legislations/364226","http://nimonikapp.com/legislations/364226")</f>
        <v>http://nimonikapp.com/legislations/364226</v>
      </c>
      <c r="H50" s="1" t="s">
        <v>18</v>
      </c>
      <c r="I50" s="1" t="s">
        <v>921</v>
      </c>
      <c r="J50" s="1" t="s">
        <v>922</v>
      </c>
      <c r="K50" s="5">
        <v>44757.0</v>
      </c>
      <c r="L50" s="5">
        <v>44748.0</v>
      </c>
      <c r="M50" s="5">
        <v>44894.0</v>
      </c>
    </row>
    <row r="51" hidden="1">
      <c r="A51" s="1" t="s">
        <v>53</v>
      </c>
      <c r="B51" s="1" t="s">
        <v>25</v>
      </c>
      <c r="C51" s="1" t="s">
        <v>923</v>
      </c>
      <c r="D51" s="1" t="str">
        <f>Vlookup(C51,'Oil &amp; Gas Documents - Canada'!F:M,2,FALSE)</f>
        <v>#N/A</v>
      </c>
      <c r="E51" s="1" t="str">
        <f>Vlookup(C51,'Oil &amp; Gas Documents - Canada'!F:N,9,FALSE)</f>
        <v>#N/A</v>
      </c>
      <c r="F51" s="1" t="s">
        <v>924</v>
      </c>
      <c r="G51" s="4" t="str">
        <f>HYPERLINK("http://nimonikapp.com/legislations/364225","http://nimonikapp.com/legislations/364225")</f>
        <v>http://nimonikapp.com/legislations/364225</v>
      </c>
      <c r="H51" s="1" t="s">
        <v>18</v>
      </c>
      <c r="I51" s="1" t="s">
        <v>925</v>
      </c>
      <c r="J51" s="1" t="s">
        <v>926</v>
      </c>
      <c r="K51" s="5">
        <v>44757.0</v>
      </c>
      <c r="L51" s="5">
        <v>44748.0</v>
      </c>
      <c r="M51" s="5">
        <v>44894.0</v>
      </c>
    </row>
    <row r="52">
      <c r="A52" s="1" t="s">
        <v>53</v>
      </c>
      <c r="B52" s="1" t="s">
        <v>25</v>
      </c>
      <c r="C52" s="1" t="s">
        <v>63</v>
      </c>
      <c r="D52" s="1" t="s">
        <v>26</v>
      </c>
      <c r="E52" s="1" t="str">
        <f>Vlookup(C52,'Oil &amp; Gas Documents - Canada'!F:N,9,FALSE)</f>
        <v>#N/A</v>
      </c>
      <c r="F52" s="1" t="s">
        <v>62</v>
      </c>
      <c r="G52" s="4" t="str">
        <f>HYPERLINK("http://nimonikapp.com/legislations/364224","http://nimonikapp.com/legislations/364224")</f>
        <v>http://nimonikapp.com/legislations/364224</v>
      </c>
      <c r="H52" s="1" t="s">
        <v>18</v>
      </c>
      <c r="I52" s="1" t="s">
        <v>64</v>
      </c>
      <c r="J52" s="1" t="s">
        <v>65</v>
      </c>
      <c r="K52" s="5">
        <v>44757.0</v>
      </c>
      <c r="L52" s="5">
        <v>44748.0</v>
      </c>
      <c r="M52" s="5">
        <v>44894.0</v>
      </c>
    </row>
    <row r="53" hidden="1">
      <c r="A53" s="1" t="s">
        <v>53</v>
      </c>
      <c r="B53" s="1" t="s">
        <v>25</v>
      </c>
      <c r="C53" s="1" t="s">
        <v>927</v>
      </c>
      <c r="D53" s="1" t="str">
        <f>Vlookup(C53,'Oil &amp; Gas Documents - Canada'!F:M,2,FALSE)</f>
        <v>#N/A</v>
      </c>
      <c r="E53" s="1" t="str">
        <f>Vlookup(C53,'Oil &amp; Gas Documents - Canada'!F:N,9,FALSE)</f>
        <v>#N/A</v>
      </c>
      <c r="F53" s="1" t="s">
        <v>928</v>
      </c>
      <c r="G53" s="4" t="str">
        <f>HYPERLINK("http://nimonikapp.com/legislations/366575","http://nimonikapp.com/legislations/366575")</f>
        <v>http://nimonikapp.com/legislations/366575</v>
      </c>
      <c r="H53" s="1" t="s">
        <v>18</v>
      </c>
      <c r="I53" s="1" t="s">
        <v>929</v>
      </c>
      <c r="J53" s="1" t="s">
        <v>930</v>
      </c>
      <c r="K53" s="5">
        <v>44757.0</v>
      </c>
      <c r="L53" s="5">
        <v>44748.0</v>
      </c>
      <c r="M53" s="5">
        <v>44894.0</v>
      </c>
      <c r="N53" s="1" t="s">
        <v>931</v>
      </c>
    </row>
    <row r="54" hidden="1">
      <c r="A54" s="1" t="s">
        <v>53</v>
      </c>
      <c r="B54" s="1" t="s">
        <v>25</v>
      </c>
      <c r="C54" s="1" t="s">
        <v>932</v>
      </c>
      <c r="D54" s="1" t="str">
        <f>Vlookup(C54,'Oil &amp; Gas Documents - Canada'!F:M,2,FALSE)</f>
        <v>#N/A</v>
      </c>
      <c r="E54" s="1" t="str">
        <f>Vlookup(C54,'Oil &amp; Gas Documents - Canada'!F:N,9,FALSE)</f>
        <v>#N/A</v>
      </c>
      <c r="F54" s="1" t="s">
        <v>933</v>
      </c>
      <c r="G54" s="4" t="str">
        <f>HYPERLINK("http://nimonikapp.com/legislations/364235","http://nimonikapp.com/legislations/364235")</f>
        <v>http://nimonikapp.com/legislations/364235</v>
      </c>
      <c r="H54" s="1" t="s">
        <v>18</v>
      </c>
      <c r="I54" s="1" t="s">
        <v>934</v>
      </c>
      <c r="J54" s="1" t="s">
        <v>935</v>
      </c>
      <c r="K54" s="5">
        <v>44757.0</v>
      </c>
      <c r="L54" s="5">
        <v>44748.0</v>
      </c>
      <c r="M54" s="5">
        <v>44894.0</v>
      </c>
    </row>
    <row r="55" hidden="1">
      <c r="A55" s="1" t="s">
        <v>53</v>
      </c>
      <c r="B55" s="1" t="s">
        <v>25</v>
      </c>
      <c r="C55" s="1" t="s">
        <v>936</v>
      </c>
      <c r="D55" s="1" t="str">
        <f>Vlookup(C55,'Oil &amp; Gas Documents - Canada'!F:M,2,FALSE)</f>
        <v>#N/A</v>
      </c>
      <c r="E55" s="1" t="str">
        <f>Vlookup(C55,'Oil &amp; Gas Documents - Canada'!F:N,9,FALSE)</f>
        <v>#N/A</v>
      </c>
      <c r="F55" s="1" t="s">
        <v>937</v>
      </c>
      <c r="G55" s="4" t="str">
        <f>HYPERLINK("http://nimonikapp.com/legislations/366602","http://nimonikapp.com/legislations/366602")</f>
        <v>http://nimonikapp.com/legislations/366602</v>
      </c>
      <c r="H55" s="1" t="s">
        <v>18</v>
      </c>
      <c r="I55" s="1" t="s">
        <v>938</v>
      </c>
      <c r="J55" s="1" t="s">
        <v>939</v>
      </c>
      <c r="K55" s="5">
        <v>44757.0</v>
      </c>
      <c r="L55" s="5">
        <v>44748.0</v>
      </c>
      <c r="M55" s="5">
        <v>44894.0</v>
      </c>
    </row>
    <row r="56" hidden="1">
      <c r="A56" s="1" t="s">
        <v>53</v>
      </c>
      <c r="B56" s="1" t="s">
        <v>25</v>
      </c>
      <c r="C56" s="1" t="s">
        <v>940</v>
      </c>
      <c r="D56" s="1" t="str">
        <f>Vlookup(C56,'Oil &amp; Gas Documents - Canada'!F:M,2,FALSE)</f>
        <v>#N/A</v>
      </c>
      <c r="E56" s="1" t="str">
        <f>Vlookup(C56,'Oil &amp; Gas Documents - Canada'!F:N,9,FALSE)</f>
        <v>#N/A</v>
      </c>
      <c r="F56" s="1" t="s">
        <v>941</v>
      </c>
      <c r="G56" s="4" t="str">
        <f>HYPERLINK("http://nimonikapp.com/legislations/364232","http://nimonikapp.com/legislations/364232")</f>
        <v>http://nimonikapp.com/legislations/364232</v>
      </c>
      <c r="H56" s="1" t="s">
        <v>18</v>
      </c>
      <c r="I56" s="1" t="s">
        <v>942</v>
      </c>
      <c r="J56" s="1" t="s">
        <v>943</v>
      </c>
      <c r="K56" s="5">
        <v>44757.0</v>
      </c>
      <c r="L56" s="5">
        <v>44748.0</v>
      </c>
      <c r="M56" s="5">
        <v>44894.0</v>
      </c>
    </row>
    <row r="57" hidden="1">
      <c r="A57" s="1" t="s">
        <v>53</v>
      </c>
      <c r="B57" s="1" t="s">
        <v>25</v>
      </c>
      <c r="C57" s="1" t="s">
        <v>944</v>
      </c>
      <c r="D57" s="1" t="str">
        <f>Vlookup(C57,'Oil &amp; Gas Documents - Canada'!F:M,2,FALSE)</f>
        <v>#N/A</v>
      </c>
      <c r="E57" s="1" t="str">
        <f>Vlookup(C57,'Oil &amp; Gas Documents - Canada'!F:N,9,FALSE)</f>
        <v>#N/A</v>
      </c>
      <c r="F57" s="1" t="s">
        <v>945</v>
      </c>
      <c r="G57" s="4" t="str">
        <f>HYPERLINK("http://nimonikapp.com/legislations/364230","http://nimonikapp.com/legislations/364230")</f>
        <v>http://nimonikapp.com/legislations/364230</v>
      </c>
      <c r="H57" s="1" t="s">
        <v>18</v>
      </c>
      <c r="I57" s="1" t="s">
        <v>946</v>
      </c>
      <c r="J57" s="1" t="s">
        <v>947</v>
      </c>
      <c r="K57" s="5">
        <v>44757.0</v>
      </c>
      <c r="L57" s="5">
        <v>44748.0</v>
      </c>
      <c r="M57" s="5">
        <v>44894.0</v>
      </c>
    </row>
    <row r="58" hidden="1">
      <c r="A58" s="1" t="s">
        <v>53</v>
      </c>
      <c r="B58" s="1" t="s">
        <v>25</v>
      </c>
      <c r="C58" s="1" t="s">
        <v>948</v>
      </c>
      <c r="D58" s="1" t="str">
        <f>Vlookup(C58,'Oil &amp; Gas Documents - Canada'!F:M,2,FALSE)</f>
        <v>#N/A</v>
      </c>
      <c r="E58" s="1" t="str">
        <f>Vlookup(C58,'Oil &amp; Gas Documents - Canada'!F:N,9,FALSE)</f>
        <v>#N/A</v>
      </c>
      <c r="F58" s="1" t="s">
        <v>949</v>
      </c>
      <c r="G58" s="4" t="str">
        <f>HYPERLINK("http://nimonikapp.com/legislations/364229","http://nimonikapp.com/legislations/364229")</f>
        <v>http://nimonikapp.com/legislations/364229</v>
      </c>
      <c r="H58" s="1" t="s">
        <v>18</v>
      </c>
      <c r="I58" s="1" t="s">
        <v>950</v>
      </c>
      <c r="J58" s="1" t="s">
        <v>951</v>
      </c>
      <c r="K58" s="5">
        <v>44757.0</v>
      </c>
      <c r="L58" s="5">
        <v>44748.0</v>
      </c>
      <c r="M58" s="5">
        <v>44894.0</v>
      </c>
    </row>
    <row r="59" hidden="1">
      <c r="A59" s="1" t="s">
        <v>53</v>
      </c>
      <c r="B59" s="1" t="s">
        <v>25</v>
      </c>
      <c r="C59" s="1" t="s">
        <v>952</v>
      </c>
      <c r="D59" s="1" t="str">
        <f>Vlookup(C59,'Oil &amp; Gas Documents - Canada'!F:M,2,FALSE)</f>
        <v>#N/A</v>
      </c>
      <c r="E59" s="1" t="str">
        <f>Vlookup(C59,'Oil &amp; Gas Documents - Canada'!F:N,9,FALSE)</f>
        <v>#N/A</v>
      </c>
      <c r="F59" s="1" t="s">
        <v>953</v>
      </c>
      <c r="G59" s="4" t="str">
        <f>HYPERLINK("http://nimonikapp.com/legislations/364228","http://nimonikapp.com/legislations/364228")</f>
        <v>http://nimonikapp.com/legislations/364228</v>
      </c>
      <c r="H59" s="1" t="s">
        <v>18</v>
      </c>
      <c r="I59" s="1" t="s">
        <v>954</v>
      </c>
      <c r="J59" s="1" t="s">
        <v>955</v>
      </c>
      <c r="K59" s="5">
        <v>44757.0</v>
      </c>
      <c r="L59" s="5">
        <v>44748.0</v>
      </c>
      <c r="M59" s="5">
        <v>44894.0</v>
      </c>
    </row>
    <row r="60" hidden="1">
      <c r="A60" s="1" t="s">
        <v>53</v>
      </c>
      <c r="B60" s="1" t="s">
        <v>25</v>
      </c>
      <c r="C60" s="1" t="s">
        <v>956</v>
      </c>
      <c r="D60" s="1" t="str">
        <f>Vlookup(C60,'Oil &amp; Gas Documents - Canada'!F:M,2,FALSE)</f>
        <v>#N/A</v>
      </c>
      <c r="E60" s="1" t="str">
        <f>Vlookup(C60,'Oil &amp; Gas Documents - Canada'!F:N,9,FALSE)</f>
        <v>#N/A</v>
      </c>
      <c r="F60" s="1" t="s">
        <v>957</v>
      </c>
      <c r="G60" s="4" t="str">
        <f>HYPERLINK("http://nimonikapp.com/legislations/364227","http://nimonikapp.com/legislations/364227")</f>
        <v>http://nimonikapp.com/legislations/364227</v>
      </c>
      <c r="H60" s="1" t="s">
        <v>18</v>
      </c>
      <c r="I60" s="1" t="s">
        <v>958</v>
      </c>
      <c r="J60" s="1" t="s">
        <v>959</v>
      </c>
      <c r="K60" s="5">
        <v>44757.0</v>
      </c>
      <c r="L60" s="5">
        <v>44748.0</v>
      </c>
      <c r="M60" s="5">
        <v>44894.0</v>
      </c>
    </row>
    <row r="61" hidden="1">
      <c r="A61" s="1" t="s">
        <v>53</v>
      </c>
      <c r="B61" s="1" t="s">
        <v>25</v>
      </c>
      <c r="C61" s="1" t="s">
        <v>927</v>
      </c>
      <c r="D61" s="1" t="str">
        <f>Vlookup(C61,'Oil &amp; Gas Documents - Canada'!F:M,2,FALSE)</f>
        <v>#N/A</v>
      </c>
      <c r="E61" s="1" t="str">
        <f>Vlookup(C61,'Oil &amp; Gas Documents - Canada'!F:N,9,FALSE)</f>
        <v>#N/A</v>
      </c>
      <c r="F61" s="1" t="s">
        <v>928</v>
      </c>
      <c r="G61" s="4" t="str">
        <f t="shared" ref="G61:G66" si="1">HYPERLINK("http://nimonikapp.com/legislations/366575","http://nimonikapp.com/legislations/366575")</f>
        <v>http://nimonikapp.com/legislations/366575</v>
      </c>
      <c r="H61" s="1" t="s">
        <v>18</v>
      </c>
      <c r="I61" s="1" t="s">
        <v>960</v>
      </c>
      <c r="J61" s="1" t="s">
        <v>930</v>
      </c>
      <c r="K61" s="5">
        <v>44771.0</v>
      </c>
      <c r="L61" s="5">
        <v>44748.0</v>
      </c>
      <c r="M61" s="5">
        <v>44894.0</v>
      </c>
      <c r="N61" s="1" t="s">
        <v>931</v>
      </c>
    </row>
    <row r="62" hidden="1">
      <c r="A62" s="1" t="s">
        <v>53</v>
      </c>
      <c r="B62" s="1" t="s">
        <v>25</v>
      </c>
      <c r="C62" s="1" t="s">
        <v>927</v>
      </c>
      <c r="D62" s="1" t="str">
        <f>Vlookup(C62,'Oil &amp; Gas Documents - Canada'!F:M,2,FALSE)</f>
        <v>#N/A</v>
      </c>
      <c r="E62" s="1" t="str">
        <f>Vlookup(C62,'Oil &amp; Gas Documents - Canada'!F:N,9,FALSE)</f>
        <v>#N/A</v>
      </c>
      <c r="F62" s="1" t="s">
        <v>928</v>
      </c>
      <c r="G62" s="4" t="str">
        <f t="shared" si="1"/>
        <v>http://nimonikapp.com/legislations/366575</v>
      </c>
      <c r="H62" s="1" t="s">
        <v>18</v>
      </c>
      <c r="I62" s="1" t="s">
        <v>961</v>
      </c>
      <c r="J62" s="1" t="s">
        <v>930</v>
      </c>
      <c r="K62" s="5">
        <v>44757.0</v>
      </c>
      <c r="L62" s="5">
        <v>44748.0</v>
      </c>
      <c r="M62" s="5">
        <v>44894.0</v>
      </c>
      <c r="N62" s="1" t="s">
        <v>931</v>
      </c>
    </row>
    <row r="63" hidden="1">
      <c r="A63" s="1" t="s">
        <v>53</v>
      </c>
      <c r="B63" s="1" t="s">
        <v>25</v>
      </c>
      <c r="C63" s="1" t="s">
        <v>927</v>
      </c>
      <c r="D63" s="1" t="str">
        <f>Vlookup(C63,'Oil &amp; Gas Documents - Canada'!F:M,2,FALSE)</f>
        <v>#N/A</v>
      </c>
      <c r="E63" s="1" t="str">
        <f>Vlookup(C63,'Oil &amp; Gas Documents - Canada'!F:N,9,FALSE)</f>
        <v>#N/A</v>
      </c>
      <c r="F63" s="1" t="s">
        <v>928</v>
      </c>
      <c r="G63" s="4" t="str">
        <f t="shared" si="1"/>
        <v>http://nimonikapp.com/legislations/366575</v>
      </c>
      <c r="H63" s="1" t="s">
        <v>18</v>
      </c>
      <c r="I63" s="1" t="s">
        <v>962</v>
      </c>
      <c r="J63" s="1" t="s">
        <v>930</v>
      </c>
      <c r="K63" s="5">
        <v>44757.0</v>
      </c>
      <c r="L63" s="5">
        <v>44748.0</v>
      </c>
      <c r="M63" s="5">
        <v>44894.0</v>
      </c>
      <c r="N63" s="1" t="s">
        <v>931</v>
      </c>
    </row>
    <row r="64" hidden="1">
      <c r="A64" s="1" t="s">
        <v>53</v>
      </c>
      <c r="B64" s="1" t="s">
        <v>25</v>
      </c>
      <c r="C64" s="1" t="s">
        <v>927</v>
      </c>
      <c r="D64" s="1" t="str">
        <f>Vlookup(C64,'Oil &amp; Gas Documents - Canada'!F:M,2,FALSE)</f>
        <v>#N/A</v>
      </c>
      <c r="E64" s="1" t="str">
        <f>Vlookup(C64,'Oil &amp; Gas Documents - Canada'!F:N,9,FALSE)</f>
        <v>#N/A</v>
      </c>
      <c r="F64" s="1" t="s">
        <v>928</v>
      </c>
      <c r="G64" s="4" t="str">
        <f t="shared" si="1"/>
        <v>http://nimonikapp.com/legislations/366575</v>
      </c>
      <c r="H64" s="1" t="s">
        <v>18</v>
      </c>
      <c r="I64" s="1" t="s">
        <v>963</v>
      </c>
      <c r="J64" s="1" t="s">
        <v>930</v>
      </c>
      <c r="K64" s="5">
        <v>44757.0</v>
      </c>
      <c r="L64" s="5">
        <v>44748.0</v>
      </c>
      <c r="M64" s="5">
        <v>44894.0</v>
      </c>
      <c r="N64" s="1" t="s">
        <v>931</v>
      </c>
    </row>
    <row r="65" hidden="1">
      <c r="A65" s="1" t="s">
        <v>53</v>
      </c>
      <c r="B65" s="1" t="s">
        <v>25</v>
      </c>
      <c r="C65" s="1" t="s">
        <v>927</v>
      </c>
      <c r="D65" s="1" t="str">
        <f>Vlookup(C65,'Oil &amp; Gas Documents - Canada'!F:M,2,FALSE)</f>
        <v>#N/A</v>
      </c>
      <c r="E65" s="1" t="str">
        <f>Vlookup(C65,'Oil &amp; Gas Documents - Canada'!F:N,9,FALSE)</f>
        <v>#N/A</v>
      </c>
      <c r="F65" s="1" t="s">
        <v>928</v>
      </c>
      <c r="G65" s="4" t="str">
        <f t="shared" si="1"/>
        <v>http://nimonikapp.com/legislations/366575</v>
      </c>
      <c r="H65" s="1" t="s">
        <v>18</v>
      </c>
      <c r="I65" s="1" t="s">
        <v>964</v>
      </c>
      <c r="J65" s="1" t="s">
        <v>930</v>
      </c>
      <c r="K65" s="5">
        <v>44799.0</v>
      </c>
      <c r="L65" s="5">
        <v>44783.0</v>
      </c>
      <c r="M65" s="5">
        <v>44894.0</v>
      </c>
      <c r="N65" s="1" t="s">
        <v>931</v>
      </c>
    </row>
    <row r="66" hidden="1">
      <c r="A66" s="1" t="s">
        <v>53</v>
      </c>
      <c r="B66" s="1" t="s">
        <v>25</v>
      </c>
      <c r="C66" s="1" t="s">
        <v>927</v>
      </c>
      <c r="D66" s="1" t="str">
        <f>Vlookup(C66,'Oil &amp; Gas Documents - Canada'!F:M,2,FALSE)</f>
        <v>#N/A</v>
      </c>
      <c r="E66" s="1" t="str">
        <f>Vlookup(C66,'Oil &amp; Gas Documents - Canada'!F:N,9,FALSE)</f>
        <v>#N/A</v>
      </c>
      <c r="F66" s="1" t="s">
        <v>928</v>
      </c>
      <c r="G66" s="4" t="str">
        <f t="shared" si="1"/>
        <v>http://nimonikapp.com/legislations/366575</v>
      </c>
      <c r="H66" s="1" t="s">
        <v>18</v>
      </c>
      <c r="I66" s="1" t="s">
        <v>965</v>
      </c>
      <c r="J66" s="1" t="s">
        <v>930</v>
      </c>
      <c r="K66" s="5">
        <v>44785.0</v>
      </c>
      <c r="L66" s="5">
        <v>44762.0</v>
      </c>
      <c r="M66" s="5">
        <v>44894.0</v>
      </c>
      <c r="N66" s="1" t="s">
        <v>931</v>
      </c>
    </row>
    <row r="67" hidden="1">
      <c r="A67" s="1" t="s">
        <v>53</v>
      </c>
      <c r="B67" s="1" t="s">
        <v>25</v>
      </c>
      <c r="C67" s="1" t="s">
        <v>966</v>
      </c>
      <c r="D67" s="1" t="str">
        <f>Vlookup(C67,'Oil &amp; Gas Documents - Canada'!F:M,2,FALSE)</f>
        <v>#N/A</v>
      </c>
      <c r="E67" s="1" t="str">
        <f>Vlookup(C67,'Oil &amp; Gas Documents - Canada'!F:N,9,FALSE)</f>
        <v>#N/A</v>
      </c>
      <c r="F67" s="1" t="s">
        <v>967</v>
      </c>
      <c r="G67" s="4" t="str">
        <f>HYPERLINK("http://nimonikapp.com/legislations/366506","http://nimonikapp.com/legislations/366506")</f>
        <v>http://nimonikapp.com/legislations/366506</v>
      </c>
      <c r="H67" s="1" t="s">
        <v>18</v>
      </c>
      <c r="I67" s="1" t="s">
        <v>968</v>
      </c>
      <c r="J67" s="1" t="s">
        <v>969</v>
      </c>
      <c r="K67" s="5">
        <v>44827.0</v>
      </c>
      <c r="L67" s="5">
        <v>44817.0</v>
      </c>
      <c r="M67" s="5">
        <v>44894.0</v>
      </c>
    </row>
    <row r="68" hidden="1">
      <c r="A68" s="1" t="s">
        <v>53</v>
      </c>
      <c r="B68" s="1" t="s">
        <v>25</v>
      </c>
      <c r="C68" s="1" t="s">
        <v>927</v>
      </c>
      <c r="D68" s="1" t="str">
        <f>Vlookup(C68,'Oil &amp; Gas Documents - Canada'!F:M,2,FALSE)</f>
        <v>#N/A</v>
      </c>
      <c r="E68" s="1" t="str">
        <f>Vlookup(C68,'Oil &amp; Gas Documents - Canada'!F:N,9,FALSE)</f>
        <v>#N/A</v>
      </c>
      <c r="F68" s="1" t="s">
        <v>928</v>
      </c>
      <c r="G68" s="4" t="str">
        <f>HYPERLINK("http://nimonikapp.com/legislations/366575","http://nimonikapp.com/legislations/366575")</f>
        <v>http://nimonikapp.com/legislations/366575</v>
      </c>
      <c r="H68" s="1" t="s">
        <v>18</v>
      </c>
      <c r="I68" s="1" t="s">
        <v>970</v>
      </c>
      <c r="J68" s="1" t="s">
        <v>930</v>
      </c>
      <c r="K68" s="5">
        <v>44813.0</v>
      </c>
      <c r="L68" s="5">
        <v>44798.0</v>
      </c>
      <c r="M68" s="5">
        <v>44894.0</v>
      </c>
      <c r="N68" s="1" t="s">
        <v>931</v>
      </c>
    </row>
    <row r="69" hidden="1">
      <c r="A69" s="1" t="s">
        <v>53</v>
      </c>
      <c r="B69" s="1" t="s">
        <v>25</v>
      </c>
      <c r="C69" s="1" t="s">
        <v>971</v>
      </c>
      <c r="D69" s="1" t="str">
        <f>Vlookup(C69,'Oil &amp; Gas Documents - Canada'!F:M,2,FALSE)</f>
        <v>#N/A</v>
      </c>
      <c r="E69" s="1" t="str">
        <f>Vlookup(C69,'Oil &amp; Gas Documents - Canada'!F:N,9,FALSE)</f>
        <v>#N/A</v>
      </c>
      <c r="F69" s="1" t="s">
        <v>972</v>
      </c>
      <c r="G69" s="4" t="str">
        <f>HYPERLINK("http://nimonikapp.com/legislations/366405","http://nimonikapp.com/legislations/366405")</f>
        <v>http://nimonikapp.com/legislations/366405</v>
      </c>
      <c r="H69" s="1" t="s">
        <v>18</v>
      </c>
      <c r="I69" s="1" t="s">
        <v>973</v>
      </c>
      <c r="J69" s="1" t="s">
        <v>974</v>
      </c>
      <c r="K69" s="5">
        <v>44813.0</v>
      </c>
      <c r="L69" s="5">
        <v>44803.0</v>
      </c>
      <c r="M69" s="5">
        <v>44894.0</v>
      </c>
    </row>
    <row r="70" hidden="1">
      <c r="A70" s="1" t="s">
        <v>53</v>
      </c>
      <c r="B70" s="1" t="s">
        <v>25</v>
      </c>
      <c r="C70" s="1" t="s">
        <v>927</v>
      </c>
      <c r="D70" s="1" t="str">
        <f>Vlookup(C70,'Oil &amp; Gas Documents - Canada'!F:M,2,FALSE)</f>
        <v>#N/A</v>
      </c>
      <c r="E70" s="1" t="str">
        <f>Vlookup(C70,'Oil &amp; Gas Documents - Canada'!F:N,9,FALSE)</f>
        <v>#N/A</v>
      </c>
      <c r="F70" s="1" t="s">
        <v>928</v>
      </c>
      <c r="G70" s="4" t="str">
        <f t="shared" ref="G70:G71" si="2">HYPERLINK("http://nimonikapp.com/legislations/366575","http://nimonikapp.com/legislations/366575")</f>
        <v>http://nimonikapp.com/legislations/366575</v>
      </c>
      <c r="H70" s="1" t="s">
        <v>18</v>
      </c>
      <c r="I70" s="1" t="s">
        <v>975</v>
      </c>
      <c r="J70" s="1" t="s">
        <v>930</v>
      </c>
      <c r="K70" s="5">
        <v>44799.0</v>
      </c>
      <c r="L70" s="5">
        <v>44783.0</v>
      </c>
      <c r="M70" s="5">
        <v>44894.0</v>
      </c>
      <c r="N70" s="1" t="s">
        <v>931</v>
      </c>
    </row>
    <row r="71" hidden="1">
      <c r="A71" s="1" t="s">
        <v>53</v>
      </c>
      <c r="B71" s="1" t="s">
        <v>25</v>
      </c>
      <c r="C71" s="1" t="s">
        <v>927</v>
      </c>
      <c r="D71" s="1" t="str">
        <f>Vlookup(C71,'Oil &amp; Gas Documents - Canada'!F:M,2,FALSE)</f>
        <v>#N/A</v>
      </c>
      <c r="E71" s="1" t="str">
        <f>Vlookup(C71,'Oil &amp; Gas Documents - Canada'!F:N,9,FALSE)</f>
        <v>#N/A</v>
      </c>
      <c r="F71" s="1" t="s">
        <v>928</v>
      </c>
      <c r="G71" s="4" t="str">
        <f t="shared" si="2"/>
        <v>http://nimonikapp.com/legislations/366575</v>
      </c>
      <c r="H71" s="1" t="s">
        <v>18</v>
      </c>
      <c r="I71" s="1" t="s">
        <v>976</v>
      </c>
      <c r="J71" s="1" t="s">
        <v>930</v>
      </c>
      <c r="K71" s="5">
        <v>44799.0</v>
      </c>
      <c r="L71" s="5">
        <v>44783.0</v>
      </c>
      <c r="M71" s="5">
        <v>44894.0</v>
      </c>
      <c r="N71" s="1" t="s">
        <v>931</v>
      </c>
    </row>
    <row r="72" hidden="1">
      <c r="A72" s="1" t="s">
        <v>486</v>
      </c>
      <c r="B72" s="1" t="s">
        <v>15</v>
      </c>
      <c r="C72" s="1" t="s">
        <v>977</v>
      </c>
      <c r="D72" s="1" t="str">
        <f>Vlookup(C72,'Oil &amp; Gas Documents - Canada'!F:M,2,FALSE)</f>
        <v>#N/A</v>
      </c>
      <c r="E72" s="1" t="str">
        <f>Vlookup(C72,'Oil &amp; Gas Documents - Canada'!F:N,9,FALSE)</f>
        <v>#N/A</v>
      </c>
      <c r="F72" s="1" t="s">
        <v>978</v>
      </c>
      <c r="G72" s="4" t="str">
        <f>HYPERLINK("http://nimonikapp.com/legislations/386015","http://nimonikapp.com/legislations/386015")</f>
        <v>http://nimonikapp.com/legislations/386015</v>
      </c>
      <c r="H72" s="1" t="s">
        <v>18</v>
      </c>
      <c r="K72" s="5">
        <v>44891.0</v>
      </c>
      <c r="L72" s="5">
        <v>44891.0</v>
      </c>
      <c r="M72" s="5">
        <v>44893.0</v>
      </c>
    </row>
    <row r="73" hidden="1">
      <c r="A73" s="1" t="s">
        <v>14</v>
      </c>
      <c r="B73" s="1" t="s">
        <v>15</v>
      </c>
      <c r="C73" s="1" t="s">
        <v>979</v>
      </c>
      <c r="D73" s="1" t="str">
        <f>Vlookup(C73,'Oil &amp; Gas Documents - Canada'!F:M,2,FALSE)</f>
        <v>#N/A</v>
      </c>
      <c r="E73" s="1" t="str">
        <f>Vlookup(C73,'Oil &amp; Gas Documents - Canada'!F:N,9,FALSE)</f>
        <v>#N/A</v>
      </c>
      <c r="F73" s="1" t="s">
        <v>980</v>
      </c>
      <c r="G73" s="4" t="str">
        <f>HYPERLINK("http://nimonikapp.com/legislations/386003","http://nimonikapp.com/legislations/386003")</f>
        <v>http://nimonikapp.com/legislations/386003</v>
      </c>
      <c r="H73" s="1" t="s">
        <v>69</v>
      </c>
      <c r="K73" s="5">
        <v>44887.0</v>
      </c>
      <c r="M73" s="5">
        <v>44893.0</v>
      </c>
    </row>
    <row r="74" hidden="1">
      <c r="A74" s="1" t="s">
        <v>486</v>
      </c>
      <c r="B74" s="1" t="s">
        <v>25</v>
      </c>
      <c r="C74" s="1" t="s">
        <v>981</v>
      </c>
      <c r="D74" s="1" t="str">
        <f>Vlookup(C74,'Oil &amp; Gas Documents - Canada'!F:M,2,FALSE)</f>
        <v>#N/A</v>
      </c>
      <c r="E74" s="1" t="str">
        <f>Vlookup(C74,'Oil &amp; Gas Documents - Canada'!F:N,9,FALSE)</f>
        <v>#N/A</v>
      </c>
      <c r="F74" s="1" t="s">
        <v>982</v>
      </c>
      <c r="G74" s="4" t="str">
        <f>HYPERLINK("http://nimonikapp.com/legislations/117398","http://nimonikapp.com/legislations/117398")</f>
        <v>http://nimonikapp.com/legislations/117398</v>
      </c>
      <c r="H74" s="1" t="s">
        <v>18</v>
      </c>
      <c r="I74" s="1" t="s">
        <v>983</v>
      </c>
      <c r="J74" s="1" t="s">
        <v>984</v>
      </c>
      <c r="K74" s="5">
        <v>44891.0</v>
      </c>
      <c r="L74" s="5">
        <v>44891.0</v>
      </c>
      <c r="M74" s="5">
        <v>44893.0</v>
      </c>
      <c r="N74" s="1" t="s">
        <v>985</v>
      </c>
    </row>
    <row r="75" hidden="1">
      <c r="A75" s="1" t="s">
        <v>486</v>
      </c>
      <c r="B75" s="1" t="s">
        <v>25</v>
      </c>
      <c r="C75" s="1" t="s">
        <v>986</v>
      </c>
      <c r="D75" s="1" t="str">
        <f>Vlookup(C75,'Oil &amp; Gas Documents - Canada'!F:M,2,FALSE)</f>
        <v>#N/A</v>
      </c>
      <c r="E75" s="1" t="str">
        <f>Vlookup(C75,'Oil &amp; Gas Documents - Canada'!F:N,9,FALSE)</f>
        <v>#N/A</v>
      </c>
      <c r="F75" s="1" t="s">
        <v>987</v>
      </c>
      <c r="G75" s="4" t="str">
        <f t="shared" ref="G75:G80" si="3">HYPERLINK("http://nimonikapp.com/legislations/117407","http://nimonikapp.com/legislations/117407")</f>
        <v>http://nimonikapp.com/legislations/117407</v>
      </c>
      <c r="H75" s="1" t="s">
        <v>18</v>
      </c>
      <c r="I75" s="1" t="s">
        <v>988</v>
      </c>
      <c r="J75" s="1" t="s">
        <v>989</v>
      </c>
      <c r="K75" s="5">
        <v>44891.0</v>
      </c>
      <c r="L75" s="5">
        <v>44891.0</v>
      </c>
      <c r="M75" s="5">
        <v>44893.0</v>
      </c>
      <c r="N75" s="1" t="s">
        <v>990</v>
      </c>
    </row>
    <row r="76" hidden="1">
      <c r="A76" s="1" t="s">
        <v>486</v>
      </c>
      <c r="B76" s="1" t="s">
        <v>25</v>
      </c>
      <c r="C76" s="1" t="s">
        <v>986</v>
      </c>
      <c r="D76" s="1" t="str">
        <f>Vlookup(C76,'Oil &amp; Gas Documents - Canada'!F:M,2,FALSE)</f>
        <v>#N/A</v>
      </c>
      <c r="E76" s="1" t="str">
        <f>Vlookup(C76,'Oil &amp; Gas Documents - Canada'!F:N,9,FALSE)</f>
        <v>#N/A</v>
      </c>
      <c r="F76" s="1" t="s">
        <v>987</v>
      </c>
      <c r="G76" s="4" t="str">
        <f t="shared" si="3"/>
        <v>http://nimonikapp.com/legislations/117407</v>
      </c>
      <c r="H76" s="1" t="s">
        <v>18</v>
      </c>
      <c r="I76" s="1" t="s">
        <v>991</v>
      </c>
      <c r="J76" s="1" t="s">
        <v>989</v>
      </c>
      <c r="K76" s="5">
        <v>44891.0</v>
      </c>
      <c r="L76" s="5">
        <v>44891.0</v>
      </c>
      <c r="M76" s="5">
        <v>44893.0</v>
      </c>
      <c r="N76" s="1" t="s">
        <v>990</v>
      </c>
    </row>
    <row r="77" hidden="1">
      <c r="A77" s="1" t="s">
        <v>486</v>
      </c>
      <c r="B77" s="1" t="s">
        <v>25</v>
      </c>
      <c r="C77" s="1" t="s">
        <v>986</v>
      </c>
      <c r="D77" s="1" t="str">
        <f>Vlookup(C77,'Oil &amp; Gas Documents - Canada'!F:M,2,FALSE)</f>
        <v>#N/A</v>
      </c>
      <c r="E77" s="1" t="str">
        <f>Vlookup(C77,'Oil &amp; Gas Documents - Canada'!F:N,9,FALSE)</f>
        <v>#N/A</v>
      </c>
      <c r="F77" s="1" t="s">
        <v>987</v>
      </c>
      <c r="G77" s="4" t="str">
        <f t="shared" si="3"/>
        <v>http://nimonikapp.com/legislations/117407</v>
      </c>
      <c r="H77" s="1" t="s">
        <v>18</v>
      </c>
      <c r="I77" s="1" t="s">
        <v>992</v>
      </c>
      <c r="J77" s="1" t="s">
        <v>989</v>
      </c>
      <c r="K77" s="5">
        <v>44891.0</v>
      </c>
      <c r="L77" s="5">
        <v>44891.0</v>
      </c>
      <c r="M77" s="5">
        <v>44893.0</v>
      </c>
      <c r="N77" s="1" t="s">
        <v>990</v>
      </c>
    </row>
    <row r="78" hidden="1">
      <c r="A78" s="1" t="s">
        <v>486</v>
      </c>
      <c r="B78" s="1" t="s">
        <v>25</v>
      </c>
      <c r="C78" s="1" t="s">
        <v>986</v>
      </c>
      <c r="D78" s="1" t="str">
        <f>Vlookup(C78,'Oil &amp; Gas Documents - Canada'!F:M,2,FALSE)</f>
        <v>#N/A</v>
      </c>
      <c r="E78" s="1" t="str">
        <f>Vlookup(C78,'Oil &amp; Gas Documents - Canada'!F:N,9,FALSE)</f>
        <v>#N/A</v>
      </c>
      <c r="F78" s="1" t="s">
        <v>987</v>
      </c>
      <c r="G78" s="4" t="str">
        <f t="shared" si="3"/>
        <v>http://nimonikapp.com/legislations/117407</v>
      </c>
      <c r="H78" s="1" t="s">
        <v>18</v>
      </c>
      <c r="I78" s="1" t="s">
        <v>993</v>
      </c>
      <c r="J78" s="1" t="s">
        <v>989</v>
      </c>
      <c r="K78" s="5">
        <v>44891.0</v>
      </c>
      <c r="L78" s="5">
        <v>44891.0</v>
      </c>
      <c r="M78" s="5">
        <v>44893.0</v>
      </c>
      <c r="N78" s="1" t="s">
        <v>990</v>
      </c>
    </row>
    <row r="79" hidden="1">
      <c r="A79" s="1" t="s">
        <v>486</v>
      </c>
      <c r="B79" s="1" t="s">
        <v>25</v>
      </c>
      <c r="C79" s="1" t="s">
        <v>986</v>
      </c>
      <c r="D79" s="1" t="str">
        <f>Vlookup(C79,'Oil &amp; Gas Documents - Canada'!F:M,2,FALSE)</f>
        <v>#N/A</v>
      </c>
      <c r="E79" s="1" t="str">
        <f>Vlookup(C79,'Oil &amp; Gas Documents - Canada'!F:N,9,FALSE)</f>
        <v>#N/A</v>
      </c>
      <c r="F79" s="1" t="s">
        <v>987</v>
      </c>
      <c r="G79" s="4" t="str">
        <f t="shared" si="3"/>
        <v>http://nimonikapp.com/legislations/117407</v>
      </c>
      <c r="H79" s="1" t="s">
        <v>18</v>
      </c>
      <c r="I79" s="1" t="s">
        <v>994</v>
      </c>
      <c r="J79" s="1" t="s">
        <v>989</v>
      </c>
      <c r="K79" s="5">
        <v>44891.0</v>
      </c>
      <c r="L79" s="5">
        <v>44891.0</v>
      </c>
      <c r="M79" s="5">
        <v>44893.0</v>
      </c>
      <c r="N79" s="1" t="s">
        <v>990</v>
      </c>
    </row>
    <row r="80" hidden="1">
      <c r="A80" s="1" t="s">
        <v>486</v>
      </c>
      <c r="B80" s="1" t="s">
        <v>25</v>
      </c>
      <c r="C80" s="1" t="s">
        <v>986</v>
      </c>
      <c r="D80" s="1" t="str">
        <f>Vlookup(C80,'Oil &amp; Gas Documents - Canada'!F:M,2,FALSE)</f>
        <v>#N/A</v>
      </c>
      <c r="E80" s="1" t="str">
        <f>Vlookup(C80,'Oil &amp; Gas Documents - Canada'!F:N,9,FALSE)</f>
        <v>#N/A</v>
      </c>
      <c r="F80" s="1" t="s">
        <v>987</v>
      </c>
      <c r="G80" s="4" t="str">
        <f t="shared" si="3"/>
        <v>http://nimonikapp.com/legislations/117407</v>
      </c>
      <c r="H80" s="1" t="s">
        <v>18</v>
      </c>
      <c r="I80" s="1" t="s">
        <v>995</v>
      </c>
      <c r="J80" s="1" t="s">
        <v>989</v>
      </c>
      <c r="K80" s="5">
        <v>44891.0</v>
      </c>
      <c r="L80" s="5">
        <v>44891.0</v>
      </c>
      <c r="M80" s="5">
        <v>44893.0</v>
      </c>
      <c r="N80" s="1" t="s">
        <v>990</v>
      </c>
    </row>
    <row r="81" hidden="1">
      <c r="A81" s="1" t="s">
        <v>486</v>
      </c>
      <c r="B81" s="1" t="s">
        <v>25</v>
      </c>
      <c r="C81" s="1" t="s">
        <v>996</v>
      </c>
      <c r="D81" s="1" t="str">
        <f>Vlookup(C81,'Oil &amp; Gas Documents - Canada'!F:M,2,FALSE)</f>
        <v>#N/A</v>
      </c>
      <c r="E81" s="1" t="str">
        <f>Vlookup(C81,'Oil &amp; Gas Documents - Canada'!F:N,9,FALSE)</f>
        <v>#N/A</v>
      </c>
      <c r="F81" s="1" t="s">
        <v>997</v>
      </c>
      <c r="G81" s="4" t="str">
        <f>HYPERLINK("http://nimonikapp.com/legislations/373687","http://nimonikapp.com/legislations/373687")</f>
        <v>http://nimonikapp.com/legislations/373687</v>
      </c>
      <c r="H81" s="1" t="s">
        <v>18</v>
      </c>
      <c r="I81" s="1" t="s">
        <v>998</v>
      </c>
      <c r="J81" s="1" t="s">
        <v>999</v>
      </c>
      <c r="K81" s="5">
        <v>44891.0</v>
      </c>
      <c r="L81" s="5">
        <v>44891.0</v>
      </c>
      <c r="M81" s="5">
        <v>44893.0</v>
      </c>
      <c r="N81" s="1" t="s">
        <v>1000</v>
      </c>
    </row>
    <row r="82">
      <c r="A82" s="1" t="s">
        <v>66</v>
      </c>
      <c r="B82" s="1" t="s">
        <v>15</v>
      </c>
      <c r="C82" s="1" t="s">
        <v>68</v>
      </c>
      <c r="D82" s="1" t="s">
        <v>26</v>
      </c>
      <c r="E82" s="1" t="str">
        <f>Vlookup(C82,'Oil &amp; Gas Documents - Canada'!F:N,9,FALSE)</f>
        <v>#N/A</v>
      </c>
      <c r="F82" s="1" t="s">
        <v>67</v>
      </c>
      <c r="G82" s="4" t="str">
        <f>HYPERLINK("http://nimonikapp.com/legislations/385628","http://nimonikapp.com/legislations/385628")</f>
        <v>http://nimonikapp.com/legislations/385628</v>
      </c>
      <c r="H82" s="1" t="s">
        <v>69</v>
      </c>
      <c r="K82" s="5">
        <v>44889.0</v>
      </c>
      <c r="M82" s="5">
        <v>44890.0</v>
      </c>
    </row>
    <row r="83">
      <c r="A83" s="1" t="s">
        <v>70</v>
      </c>
      <c r="B83" s="1" t="s">
        <v>15</v>
      </c>
      <c r="C83" s="1" t="s">
        <v>72</v>
      </c>
      <c r="D83" s="1" t="str">
        <f>Vlookup(C83,'Oil &amp; Gas Documents - Canada'!F:M,2,FALSE)</f>
        <v>oil_and_gas, mining_and_minerals_industry</v>
      </c>
      <c r="E83" s="1" t="str">
        <f>Vlookup(C83,'Oil &amp; Gas Documents - Canada'!F:N,9,FALSE)</f>
        <v/>
      </c>
      <c r="F83" s="1" t="s">
        <v>71</v>
      </c>
      <c r="G83" s="4" t="str">
        <f>HYPERLINK("http://nimonikapp.com/legislations/385627","http://nimonikapp.com/legislations/385627")</f>
        <v>http://nimonikapp.com/legislations/385627</v>
      </c>
      <c r="H83" s="1" t="s">
        <v>69</v>
      </c>
      <c r="K83" s="5">
        <v>44888.0</v>
      </c>
      <c r="M83" s="5">
        <v>44890.0</v>
      </c>
    </row>
    <row r="84" hidden="1">
      <c r="A84" s="1" t="s">
        <v>70</v>
      </c>
      <c r="B84" s="1" t="s">
        <v>15</v>
      </c>
      <c r="C84" s="1" t="s">
        <v>1001</v>
      </c>
      <c r="D84" s="1" t="str">
        <f>Vlookup(C84,'Oil &amp; Gas Documents - Canada'!F:M,2,FALSE)</f>
        <v>#N/A</v>
      </c>
      <c r="E84" s="1" t="str">
        <f>Vlookup(C84,'Oil &amp; Gas Documents - Canada'!F:N,9,FALSE)</f>
        <v>#N/A</v>
      </c>
      <c r="F84" s="1" t="s">
        <v>1002</v>
      </c>
      <c r="G84" s="4" t="str">
        <f>HYPERLINK("http://nimonikapp.com/legislations/385624","http://nimonikapp.com/legislations/385624")</f>
        <v>http://nimonikapp.com/legislations/385624</v>
      </c>
      <c r="H84" s="1" t="s">
        <v>69</v>
      </c>
      <c r="K84" s="5">
        <v>44882.0</v>
      </c>
      <c r="M84" s="5">
        <v>44890.0</v>
      </c>
    </row>
    <row r="85" hidden="1">
      <c r="A85" s="1" t="s">
        <v>24</v>
      </c>
      <c r="B85" s="1" t="s">
        <v>25</v>
      </c>
      <c r="C85" s="1" t="s">
        <v>1003</v>
      </c>
      <c r="D85" s="1" t="str">
        <f>Vlookup(C85,'Oil &amp; Gas Documents - Canada'!F:M,2,FALSE)</f>
        <v>#N/A</v>
      </c>
      <c r="E85" s="1" t="str">
        <f>Vlookup(C85,'Oil &amp; Gas Documents - Canada'!F:N,9,FALSE)</f>
        <v>#N/A</v>
      </c>
      <c r="F85" s="1" t="s">
        <v>1004</v>
      </c>
      <c r="G85" s="4" t="str">
        <f>HYPERLINK("http://nimonikapp.com/legislations/1251","http://nimonikapp.com/legislations/1251")</f>
        <v>http://nimonikapp.com/legislations/1251</v>
      </c>
      <c r="H85" s="1" t="s">
        <v>18</v>
      </c>
      <c r="I85" s="1" t="s">
        <v>1005</v>
      </c>
      <c r="J85" s="1" t="s">
        <v>1006</v>
      </c>
      <c r="K85" s="5">
        <v>44887.0</v>
      </c>
      <c r="L85" s="5">
        <v>44986.0</v>
      </c>
      <c r="M85" s="5">
        <v>44890.0</v>
      </c>
      <c r="N85" s="1" t="s">
        <v>1007</v>
      </c>
    </row>
    <row r="86">
      <c r="A86" s="1" t="s">
        <v>73</v>
      </c>
      <c r="B86" s="1" t="s">
        <v>25</v>
      </c>
      <c r="C86" s="1" t="s">
        <v>75</v>
      </c>
      <c r="D86" s="1" t="str">
        <f>Vlookup(C86,'Oil &amp; Gas Documents - Canada'!F:M,2,FALSE)</f>
        <v>oil_and_gas</v>
      </c>
      <c r="E86" s="1" t="str">
        <f>Vlookup(C86,'Oil &amp; Gas Documents - Canada'!F:N,9,FALSE)</f>
        <v/>
      </c>
      <c r="F86" s="1" t="s">
        <v>74</v>
      </c>
      <c r="G86" s="4" t="str">
        <f>HYPERLINK("http://nimonikapp.com/legislations/10243","http://nimonikapp.com/legislations/10243")</f>
        <v>http://nimonikapp.com/legislations/10243</v>
      </c>
      <c r="H86" s="1" t="s">
        <v>18</v>
      </c>
      <c r="I86" s="1" t="s">
        <v>77</v>
      </c>
      <c r="J86" s="1" t="s">
        <v>78</v>
      </c>
      <c r="K86" s="5">
        <v>44852.0</v>
      </c>
      <c r="L86" s="5">
        <v>44852.0</v>
      </c>
      <c r="M86" s="5">
        <v>44890.0</v>
      </c>
      <c r="N86" s="1" t="s">
        <v>76</v>
      </c>
    </row>
    <row r="87" hidden="1">
      <c r="A87" s="1" t="s">
        <v>24</v>
      </c>
      <c r="B87" s="1" t="s">
        <v>25</v>
      </c>
      <c r="C87" s="1" t="s">
        <v>1008</v>
      </c>
      <c r="D87" s="1" t="str">
        <f>Vlookup(C87,'Oil &amp; Gas Documents - Canada'!F:M,2,FALSE)</f>
        <v>#N/A</v>
      </c>
      <c r="E87" s="1" t="str">
        <f>Vlookup(C87,'Oil &amp; Gas Documents - Canada'!F:N,9,FALSE)</f>
        <v>#N/A</v>
      </c>
      <c r="F87" s="1" t="s">
        <v>1009</v>
      </c>
      <c r="G87" s="4" t="str">
        <f>HYPERLINK("http://nimonikapp.com/legislations/162640","http://nimonikapp.com/legislations/162640")</f>
        <v>http://nimonikapp.com/legislations/162640</v>
      </c>
      <c r="H87" s="1" t="s">
        <v>18</v>
      </c>
      <c r="I87" s="1" t="s">
        <v>1010</v>
      </c>
      <c r="J87" s="1" t="s">
        <v>1011</v>
      </c>
      <c r="K87" s="5">
        <v>44889.0</v>
      </c>
      <c r="L87" s="5">
        <v>44889.0</v>
      </c>
      <c r="M87" s="5">
        <v>44890.0</v>
      </c>
      <c r="N87" s="1" t="s">
        <v>1012</v>
      </c>
    </row>
    <row r="88" hidden="1">
      <c r="A88" s="1" t="s">
        <v>24</v>
      </c>
      <c r="B88" s="1" t="s">
        <v>25</v>
      </c>
      <c r="C88" s="1" t="s">
        <v>815</v>
      </c>
      <c r="D88" s="1" t="str">
        <f>Vlookup(C88,'Oil &amp; Gas Documents - Canada'!F:M,2,FALSE)</f>
        <v>#N/A</v>
      </c>
      <c r="E88" s="1" t="str">
        <f>Vlookup(C88,'Oil &amp; Gas Documents - Canada'!F:N,9,FALSE)</f>
        <v>#N/A</v>
      </c>
      <c r="F88" s="1" t="s">
        <v>816</v>
      </c>
      <c r="G88" s="4" t="str">
        <f>HYPERLINK("http://nimonikapp.com/legislations/101","http://nimonikapp.com/legislations/101")</f>
        <v>http://nimonikapp.com/legislations/101</v>
      </c>
      <c r="H88" s="1" t="s">
        <v>18</v>
      </c>
      <c r="I88" s="1" t="s">
        <v>1013</v>
      </c>
      <c r="J88" s="1" t="s">
        <v>1014</v>
      </c>
      <c r="K88" s="5">
        <v>44889.0</v>
      </c>
      <c r="L88" s="5">
        <v>44889.0</v>
      </c>
      <c r="M88" s="5">
        <v>44890.0</v>
      </c>
      <c r="N88" s="1" t="s">
        <v>819</v>
      </c>
    </row>
    <row r="89" hidden="1">
      <c r="A89" s="1" t="s">
        <v>73</v>
      </c>
      <c r="B89" s="1" t="s">
        <v>15</v>
      </c>
      <c r="C89" s="1" t="s">
        <v>1015</v>
      </c>
      <c r="D89" s="1" t="str">
        <f>Vlookup(C89,'Oil &amp; Gas Documents - Canada'!F:M,2,FALSE)</f>
        <v>#N/A</v>
      </c>
      <c r="E89" s="1" t="str">
        <f>Vlookup(C89,'Oil &amp; Gas Documents - Canada'!F:N,9,FALSE)</f>
        <v>#N/A</v>
      </c>
      <c r="F89" s="1" t="s">
        <v>1016</v>
      </c>
      <c r="G89" s="4" t="str">
        <f>HYPERLINK("http://nimonikapp.com/legislations/384485","http://nimonikapp.com/legislations/384485")</f>
        <v>http://nimonikapp.com/legislations/384485</v>
      </c>
      <c r="H89" s="1" t="s">
        <v>18</v>
      </c>
      <c r="K89" s="5">
        <v>44888.0</v>
      </c>
      <c r="L89" s="5">
        <v>44875.0</v>
      </c>
      <c r="M89" s="5">
        <v>44889.0</v>
      </c>
    </row>
    <row r="90" hidden="1">
      <c r="A90" s="1" t="s">
        <v>73</v>
      </c>
      <c r="B90" s="1" t="s">
        <v>15</v>
      </c>
      <c r="C90" s="1" t="s">
        <v>1017</v>
      </c>
      <c r="D90" s="1" t="str">
        <f>Vlookup(C90,'Oil &amp; Gas Documents - Canada'!F:M,2,FALSE)</f>
        <v>#N/A</v>
      </c>
      <c r="E90" s="1" t="str">
        <f>Vlookup(C90,'Oil &amp; Gas Documents - Canada'!F:N,9,FALSE)</f>
        <v>#N/A</v>
      </c>
      <c r="F90" s="1" t="s">
        <v>1018</v>
      </c>
      <c r="G90" s="4" t="str">
        <f>HYPERLINK("http://nimonikapp.com/legislations/384484","http://nimonikapp.com/legislations/384484")</f>
        <v>http://nimonikapp.com/legislations/384484</v>
      </c>
      <c r="H90" s="1" t="s">
        <v>18</v>
      </c>
      <c r="K90" s="5">
        <v>44888.0</v>
      </c>
      <c r="L90" s="5">
        <v>44873.0</v>
      </c>
      <c r="M90" s="5">
        <v>44889.0</v>
      </c>
    </row>
    <row r="91" hidden="1">
      <c r="A91" s="1" t="s">
        <v>73</v>
      </c>
      <c r="B91" s="1" t="s">
        <v>15</v>
      </c>
      <c r="C91" s="1" t="s">
        <v>1019</v>
      </c>
      <c r="D91" s="1" t="str">
        <f>Vlookup(C91,'Oil &amp; Gas Documents - Canada'!F:M,2,FALSE)</f>
        <v>#N/A</v>
      </c>
      <c r="E91" s="1" t="str">
        <f>Vlookup(C91,'Oil &amp; Gas Documents - Canada'!F:N,9,FALSE)</f>
        <v>#N/A</v>
      </c>
      <c r="F91" s="1" t="s">
        <v>1020</v>
      </c>
      <c r="G91" s="4" t="str">
        <f>HYPERLINK("http://nimonikapp.com/legislations/384481","http://nimonikapp.com/legislations/384481")</f>
        <v>http://nimonikapp.com/legislations/384481</v>
      </c>
      <c r="H91" s="1" t="s">
        <v>18</v>
      </c>
      <c r="K91" s="5">
        <v>44888.0</v>
      </c>
      <c r="L91" s="5">
        <v>44873.0</v>
      </c>
      <c r="M91" s="5">
        <v>44889.0</v>
      </c>
    </row>
    <row r="92" hidden="1">
      <c r="A92" s="1" t="s">
        <v>73</v>
      </c>
      <c r="B92" s="1" t="s">
        <v>15</v>
      </c>
      <c r="C92" s="1" t="s">
        <v>1021</v>
      </c>
      <c r="D92" s="1" t="str">
        <f>Vlookup(C92,'Oil &amp; Gas Documents - Canada'!F:M,2,FALSE)</f>
        <v>#N/A</v>
      </c>
      <c r="E92" s="1" t="str">
        <f>Vlookup(C92,'Oil &amp; Gas Documents - Canada'!F:N,9,FALSE)</f>
        <v>#N/A</v>
      </c>
      <c r="F92" s="1" t="s">
        <v>1022</v>
      </c>
      <c r="G92" s="4" t="str">
        <f>HYPERLINK("http://nimonikapp.com/legislations/384478","http://nimonikapp.com/legislations/384478")</f>
        <v>http://nimonikapp.com/legislations/384478</v>
      </c>
      <c r="H92" s="1" t="s">
        <v>18</v>
      </c>
      <c r="K92" s="5">
        <v>44888.0</v>
      </c>
      <c r="L92" s="5">
        <v>44868.0</v>
      </c>
      <c r="M92" s="5">
        <v>44889.0</v>
      </c>
    </row>
    <row r="93" hidden="1">
      <c r="A93" s="1" t="s">
        <v>73</v>
      </c>
      <c r="B93" s="1" t="s">
        <v>25</v>
      </c>
      <c r="C93" s="1" t="s">
        <v>1023</v>
      </c>
      <c r="D93" s="1" t="str">
        <f>Vlookup(C93,'Oil &amp; Gas Documents - Canada'!F:M,2,FALSE)</f>
        <v>#N/A</v>
      </c>
      <c r="E93" s="1" t="str">
        <f>Vlookup(C93,'Oil &amp; Gas Documents - Canada'!F:N,9,FALSE)</f>
        <v>#N/A</v>
      </c>
      <c r="F93" s="1" t="s">
        <v>1024</v>
      </c>
      <c r="G93" s="4" t="str">
        <f>HYPERLINK("http://nimonikapp.com/legislations/280724","http://nimonikapp.com/legislations/280724")</f>
        <v>http://nimonikapp.com/legislations/280724</v>
      </c>
      <c r="H93" s="1" t="s">
        <v>18</v>
      </c>
      <c r="I93" s="1" t="s">
        <v>1025</v>
      </c>
      <c r="J93" s="1" t="s">
        <v>1026</v>
      </c>
      <c r="K93" s="5">
        <v>44888.0</v>
      </c>
      <c r="M93" s="5">
        <v>44889.0</v>
      </c>
      <c r="N93" s="1" t="s">
        <v>1027</v>
      </c>
    </row>
    <row r="94" hidden="1">
      <c r="A94" s="1" t="s">
        <v>73</v>
      </c>
      <c r="B94" s="1" t="s">
        <v>25</v>
      </c>
      <c r="C94" s="1" t="s">
        <v>1028</v>
      </c>
      <c r="D94" s="1" t="str">
        <f>Vlookup(C94,'Oil &amp; Gas Documents - Canada'!F:M,2,FALSE)</f>
        <v>#N/A</v>
      </c>
      <c r="E94" s="1" t="str">
        <f>Vlookup(C94,'Oil &amp; Gas Documents - Canada'!F:N,9,FALSE)</f>
        <v>#N/A</v>
      </c>
      <c r="F94" s="1" t="s">
        <v>1029</v>
      </c>
      <c r="G94" s="4" t="str">
        <f>HYPERLINK("http://nimonikapp.com/legislations/162689","http://nimonikapp.com/legislations/162689")</f>
        <v>http://nimonikapp.com/legislations/162689</v>
      </c>
      <c r="H94" s="1" t="s">
        <v>18</v>
      </c>
      <c r="I94" s="1" t="s">
        <v>1025</v>
      </c>
      <c r="J94" s="1" t="s">
        <v>1026</v>
      </c>
      <c r="K94" s="5">
        <v>44888.0</v>
      </c>
      <c r="M94" s="5">
        <v>44889.0</v>
      </c>
      <c r="N94" s="1" t="s">
        <v>1030</v>
      </c>
    </row>
    <row r="95" hidden="1">
      <c r="A95" s="1" t="s">
        <v>73</v>
      </c>
      <c r="B95" s="1" t="s">
        <v>25</v>
      </c>
      <c r="C95" s="1" t="s">
        <v>1031</v>
      </c>
      <c r="D95" s="1" t="str">
        <f>Vlookup(C95,'Oil &amp; Gas Documents - Canada'!F:M,2,FALSE)</f>
        <v>#N/A</v>
      </c>
      <c r="E95" s="1" t="str">
        <f>Vlookup(C95,'Oil &amp; Gas Documents - Canada'!F:N,9,FALSE)</f>
        <v>#N/A</v>
      </c>
      <c r="F95" s="1" t="s">
        <v>1032</v>
      </c>
      <c r="G95" s="4" t="str">
        <f>HYPERLINK("http://nimonikapp.com/legislations/1223","http://nimonikapp.com/legislations/1223")</f>
        <v>http://nimonikapp.com/legislations/1223</v>
      </c>
      <c r="H95" s="1" t="s">
        <v>18</v>
      </c>
      <c r="I95" s="1" t="s">
        <v>1025</v>
      </c>
      <c r="J95" s="1" t="s">
        <v>1026</v>
      </c>
      <c r="K95" s="5">
        <v>44888.0</v>
      </c>
      <c r="M95" s="5">
        <v>44889.0</v>
      </c>
      <c r="N95" s="1" t="s">
        <v>1030</v>
      </c>
    </row>
    <row r="96" hidden="1">
      <c r="A96" s="1" t="s">
        <v>73</v>
      </c>
      <c r="B96" s="1" t="s">
        <v>25</v>
      </c>
      <c r="C96" s="1" t="s">
        <v>1033</v>
      </c>
      <c r="D96" s="1" t="str">
        <f>Vlookup(C96,'Oil &amp; Gas Documents - Canada'!F:M,2,FALSE)</f>
        <v>#N/A</v>
      </c>
      <c r="E96" s="1" t="str">
        <f>Vlookup(C96,'Oil &amp; Gas Documents - Canada'!F:N,9,FALSE)</f>
        <v>#N/A</v>
      </c>
      <c r="F96" s="1" t="s">
        <v>1034</v>
      </c>
      <c r="G96" s="4" t="str">
        <f>HYPERLINK("http://nimonikapp.com/legislations/895","http://nimonikapp.com/legislations/895")</f>
        <v>http://nimonikapp.com/legislations/895</v>
      </c>
      <c r="H96" s="1" t="s">
        <v>18</v>
      </c>
      <c r="I96" s="1" t="s">
        <v>1035</v>
      </c>
      <c r="J96" s="1" t="s">
        <v>1036</v>
      </c>
      <c r="K96" s="5">
        <v>44888.0</v>
      </c>
      <c r="L96" s="5">
        <v>44872.0</v>
      </c>
      <c r="M96" s="5">
        <v>44889.0</v>
      </c>
      <c r="N96" s="1" t="s">
        <v>1037</v>
      </c>
    </row>
    <row r="97" hidden="1">
      <c r="A97" s="1" t="s">
        <v>73</v>
      </c>
      <c r="B97" s="1" t="s">
        <v>25</v>
      </c>
      <c r="C97" s="1" t="s">
        <v>1038</v>
      </c>
      <c r="D97" s="1" t="str">
        <f>Vlookup(C97,'Oil &amp; Gas Documents - Canada'!F:M,2,FALSE)</f>
        <v>#N/A</v>
      </c>
      <c r="E97" s="1" t="str">
        <f>Vlookup(C97,'Oil &amp; Gas Documents - Canada'!F:N,9,FALSE)</f>
        <v>#N/A</v>
      </c>
      <c r="F97" s="1" t="s">
        <v>1039</v>
      </c>
      <c r="G97" s="4" t="str">
        <f>HYPERLINK("http://nimonikapp.com/legislations/11799","http://nimonikapp.com/legislations/11799")</f>
        <v>http://nimonikapp.com/legislations/11799</v>
      </c>
      <c r="H97" s="1" t="s">
        <v>18</v>
      </c>
      <c r="I97" s="1" t="s">
        <v>1040</v>
      </c>
      <c r="J97" s="1" t="s">
        <v>1041</v>
      </c>
      <c r="K97" s="5">
        <v>44888.0</v>
      </c>
      <c r="L97" s="5">
        <v>44888.0</v>
      </c>
      <c r="M97" s="5">
        <v>44889.0</v>
      </c>
      <c r="N97" s="1" t="s">
        <v>1042</v>
      </c>
    </row>
    <row r="98" hidden="1">
      <c r="A98" s="1" t="s">
        <v>73</v>
      </c>
      <c r="B98" s="1" t="s">
        <v>25</v>
      </c>
      <c r="C98" s="1" t="s">
        <v>1033</v>
      </c>
      <c r="D98" s="1" t="str">
        <f>Vlookup(C98,'Oil &amp; Gas Documents - Canada'!F:M,2,FALSE)</f>
        <v>#N/A</v>
      </c>
      <c r="E98" s="1" t="str">
        <f>Vlookup(C98,'Oil &amp; Gas Documents - Canada'!F:N,9,FALSE)</f>
        <v>#N/A</v>
      </c>
      <c r="F98" s="1" t="s">
        <v>1034</v>
      </c>
      <c r="G98" s="4" t="str">
        <f>HYPERLINK("http://nimonikapp.com/legislations/895","http://nimonikapp.com/legislations/895")</f>
        <v>http://nimonikapp.com/legislations/895</v>
      </c>
      <c r="H98" s="1" t="s">
        <v>18</v>
      </c>
      <c r="I98" s="1" t="s">
        <v>1043</v>
      </c>
      <c r="J98" s="1" t="s">
        <v>1044</v>
      </c>
      <c r="K98" s="5">
        <v>44888.0</v>
      </c>
      <c r="L98" s="5">
        <v>44872.0</v>
      </c>
      <c r="M98" s="5">
        <v>44889.0</v>
      </c>
      <c r="N98" s="1" t="s">
        <v>1037</v>
      </c>
    </row>
    <row r="99" hidden="1">
      <c r="A99" s="1" t="s">
        <v>73</v>
      </c>
      <c r="B99" s="1" t="s">
        <v>25</v>
      </c>
      <c r="C99" s="1" t="s">
        <v>1045</v>
      </c>
      <c r="D99" s="1" t="str">
        <f>Vlookup(C99,'Oil &amp; Gas Documents - Canada'!F:M,2,FALSE)</f>
        <v>#N/A</v>
      </c>
      <c r="E99" s="1" t="str">
        <f>Vlookup(C99,'Oil &amp; Gas Documents - Canada'!F:N,9,FALSE)</f>
        <v>#N/A</v>
      </c>
      <c r="F99" s="1" t="s">
        <v>1046</v>
      </c>
      <c r="G99" s="4" t="str">
        <f>HYPERLINK("http://nimonikapp.com/legislations/321966","http://nimonikapp.com/legislations/321966")</f>
        <v>http://nimonikapp.com/legislations/321966</v>
      </c>
      <c r="H99" s="1" t="s">
        <v>18</v>
      </c>
      <c r="I99" s="1" t="s">
        <v>1047</v>
      </c>
      <c r="J99" s="1" t="s">
        <v>1048</v>
      </c>
      <c r="K99" s="5">
        <v>44888.0</v>
      </c>
      <c r="L99" s="5">
        <v>44875.0</v>
      </c>
      <c r="M99" s="5">
        <v>44889.0</v>
      </c>
      <c r="N99" s="1" t="s">
        <v>1049</v>
      </c>
    </row>
    <row r="100" hidden="1">
      <c r="A100" s="1" t="s">
        <v>73</v>
      </c>
      <c r="B100" s="1" t="s">
        <v>25</v>
      </c>
      <c r="C100" s="1" t="s">
        <v>1050</v>
      </c>
      <c r="D100" s="1" t="str">
        <f>Vlookup(C100,'Oil &amp; Gas Documents - Canada'!F:M,2,FALSE)</f>
        <v>#N/A</v>
      </c>
      <c r="E100" s="1" t="str">
        <f>Vlookup(C100,'Oil &amp; Gas Documents - Canada'!F:N,9,FALSE)</f>
        <v>#N/A</v>
      </c>
      <c r="F100" s="1" t="s">
        <v>1051</v>
      </c>
      <c r="G100" s="4" t="str">
        <f>HYPERLINK("http://nimonikapp.com/legislations/321960","http://nimonikapp.com/legislations/321960")</f>
        <v>http://nimonikapp.com/legislations/321960</v>
      </c>
      <c r="H100" s="1" t="s">
        <v>18</v>
      </c>
      <c r="I100" s="1" t="s">
        <v>1052</v>
      </c>
      <c r="J100" s="1" t="s">
        <v>1053</v>
      </c>
      <c r="K100" s="5">
        <v>44888.0</v>
      </c>
      <c r="L100" s="5">
        <v>44875.0</v>
      </c>
      <c r="M100" s="5">
        <v>44889.0</v>
      </c>
      <c r="N100" s="1" t="s">
        <v>1054</v>
      </c>
    </row>
    <row r="101" hidden="1">
      <c r="A101" s="1" t="s">
        <v>557</v>
      </c>
      <c r="B101" s="1" t="s">
        <v>15</v>
      </c>
      <c r="C101" s="1" t="s">
        <v>1055</v>
      </c>
      <c r="D101" s="1" t="str">
        <f>Vlookup(C101,'Oil &amp; Gas Documents - Canada'!F:M,2,FALSE)</f>
        <v>#N/A</v>
      </c>
      <c r="E101" s="1" t="str">
        <f>Vlookup(C101,'Oil &amp; Gas Documents - Canada'!F:N,9,FALSE)</f>
        <v>#N/A</v>
      </c>
      <c r="F101" s="1" t="s">
        <v>1056</v>
      </c>
      <c r="G101" s="4" t="str">
        <f>HYPERLINK("http://nimonikapp.com/legislations/383980","http://nimonikapp.com/legislations/383980")</f>
        <v>http://nimonikapp.com/legislations/383980</v>
      </c>
      <c r="H101" s="1" t="s">
        <v>69</v>
      </c>
      <c r="K101" s="5">
        <v>44886.0</v>
      </c>
      <c r="M101" s="5">
        <v>44888.0</v>
      </c>
    </row>
    <row r="102">
      <c r="A102" s="1" t="s">
        <v>24</v>
      </c>
      <c r="B102" s="1" t="s">
        <v>15</v>
      </c>
      <c r="C102" s="1" t="s">
        <v>80</v>
      </c>
      <c r="D102" s="1" t="str">
        <f>Vlookup(C102,'Oil &amp; Gas Documents - Canada'!F:M,2,FALSE)</f>
        <v>oil_and_gas, utilities_and_communications</v>
      </c>
      <c r="E102" s="1" t="str">
        <f>Vlookup(C102,'Oil &amp; Gas Documents - Canada'!F:N,9,FALSE)</f>
        <v/>
      </c>
      <c r="F102" s="1" t="s">
        <v>79</v>
      </c>
      <c r="G102" s="4" t="str">
        <f>HYPERLINK("http://nimonikapp.com/legislations/383981","http://nimonikapp.com/legislations/383981")</f>
        <v>http://nimonikapp.com/legislations/383981</v>
      </c>
      <c r="H102" s="1" t="s">
        <v>69</v>
      </c>
      <c r="K102" s="5">
        <v>44886.0</v>
      </c>
      <c r="M102" s="5">
        <v>44888.0</v>
      </c>
    </row>
    <row r="103" hidden="1">
      <c r="A103" s="1" t="s">
        <v>73</v>
      </c>
      <c r="B103" s="1" t="s">
        <v>15</v>
      </c>
      <c r="C103" s="1" t="s">
        <v>1057</v>
      </c>
      <c r="D103" s="1" t="str">
        <f>Vlookup(C103,'Oil &amp; Gas Documents - Canada'!F:M,2,FALSE)</f>
        <v>#N/A</v>
      </c>
      <c r="E103" s="1" t="str">
        <f>Vlookup(C103,'Oil &amp; Gas Documents - Canada'!F:N,9,FALSE)</f>
        <v>#N/A</v>
      </c>
      <c r="F103" s="1" t="s">
        <v>1058</v>
      </c>
      <c r="G103" s="4" t="str">
        <f>HYPERLINK("http://nimonikapp.com/legislations/383967","http://nimonikapp.com/legislations/383967")</f>
        <v>http://nimonikapp.com/legislations/383967</v>
      </c>
      <c r="H103" s="1" t="s">
        <v>18</v>
      </c>
      <c r="K103" s="5">
        <v>44882.0</v>
      </c>
      <c r="L103" s="5">
        <v>44882.0</v>
      </c>
      <c r="M103" s="5">
        <v>44888.0</v>
      </c>
    </row>
    <row r="104" hidden="1">
      <c r="A104" s="1" t="s">
        <v>73</v>
      </c>
      <c r="B104" s="1" t="s">
        <v>15</v>
      </c>
      <c r="C104" s="1" t="s">
        <v>1059</v>
      </c>
      <c r="D104" s="1" t="str">
        <f>Vlookup(C104,'Oil &amp; Gas Documents - Canada'!F:M,2,FALSE)</f>
        <v>#N/A</v>
      </c>
      <c r="E104" s="1" t="str">
        <f>Vlookup(C104,'Oil &amp; Gas Documents - Canada'!F:N,9,FALSE)</f>
        <v>#N/A</v>
      </c>
      <c r="F104" s="1" t="s">
        <v>1060</v>
      </c>
      <c r="G104" s="4" t="str">
        <f>HYPERLINK("http://nimonikapp.com/legislations/383966","http://nimonikapp.com/legislations/383966")</f>
        <v>http://nimonikapp.com/legislations/383966</v>
      </c>
      <c r="H104" s="1" t="s">
        <v>18</v>
      </c>
      <c r="K104" s="5">
        <v>44882.0</v>
      </c>
      <c r="L104" s="5">
        <v>44882.0</v>
      </c>
      <c r="M104" s="5">
        <v>44888.0</v>
      </c>
    </row>
    <row r="105" hidden="1">
      <c r="A105" s="1" t="s">
        <v>73</v>
      </c>
      <c r="B105" s="1" t="s">
        <v>25</v>
      </c>
      <c r="C105" s="1" t="s">
        <v>1061</v>
      </c>
      <c r="D105" s="1" t="str">
        <f>Vlookup(C105,'Oil &amp; Gas Documents - Canada'!F:M,2,FALSE)</f>
        <v>#N/A</v>
      </c>
      <c r="E105" s="1" t="str">
        <f>Vlookup(C105,'Oil &amp; Gas Documents - Canada'!F:N,9,FALSE)</f>
        <v>#N/A</v>
      </c>
      <c r="F105" s="1" t="s">
        <v>1062</v>
      </c>
      <c r="G105" s="4" t="str">
        <f>HYPERLINK("http://nimonikapp.com/legislations/677","http://nimonikapp.com/legislations/677")</f>
        <v>http://nimonikapp.com/legislations/677</v>
      </c>
      <c r="H105" s="1" t="s">
        <v>18</v>
      </c>
      <c r="I105" s="1" t="s">
        <v>1063</v>
      </c>
      <c r="J105" s="1" t="s">
        <v>1064</v>
      </c>
      <c r="K105" s="5">
        <v>44882.0</v>
      </c>
      <c r="L105" s="5">
        <v>44882.0</v>
      </c>
      <c r="M105" s="5">
        <v>44888.0</v>
      </c>
      <c r="N105" s="1" t="s">
        <v>1065</v>
      </c>
    </row>
    <row r="106" hidden="1">
      <c r="A106" s="1" t="s">
        <v>73</v>
      </c>
      <c r="B106" s="1" t="s">
        <v>25</v>
      </c>
      <c r="C106" s="1" t="s">
        <v>1066</v>
      </c>
      <c r="D106" s="1" t="str">
        <f>Vlookup(C106,'Oil &amp; Gas Documents - Canada'!F:M,2,FALSE)</f>
        <v>#N/A</v>
      </c>
      <c r="E106" s="1" t="str">
        <f>Vlookup(C106,'Oil &amp; Gas Documents - Canada'!F:N,9,FALSE)</f>
        <v>#N/A</v>
      </c>
      <c r="F106" s="1" t="s">
        <v>1067</v>
      </c>
      <c r="G106" s="4" t="str">
        <f>HYPERLINK("http://nimonikapp.com/legislations/786","http://nimonikapp.com/legislations/786")</f>
        <v>http://nimonikapp.com/legislations/786</v>
      </c>
      <c r="H106" s="1" t="s">
        <v>18</v>
      </c>
      <c r="I106" s="1" t="s">
        <v>1063</v>
      </c>
      <c r="J106" s="1" t="s">
        <v>1064</v>
      </c>
      <c r="K106" s="5">
        <v>44882.0</v>
      </c>
      <c r="L106" s="5">
        <v>44882.0</v>
      </c>
      <c r="M106" s="5">
        <v>44888.0</v>
      </c>
      <c r="N106" s="1" t="s">
        <v>1068</v>
      </c>
    </row>
    <row r="107" hidden="1">
      <c r="A107" s="1" t="s">
        <v>73</v>
      </c>
      <c r="B107" s="1" t="s">
        <v>25</v>
      </c>
      <c r="C107" s="1" t="s">
        <v>1069</v>
      </c>
      <c r="D107" s="1" t="str">
        <f>Vlookup(C107,'Oil &amp; Gas Documents - Canada'!F:M,2,FALSE)</f>
        <v>#N/A</v>
      </c>
      <c r="E107" s="1" t="str">
        <f>Vlookup(C107,'Oil &amp; Gas Documents - Canada'!F:N,9,FALSE)</f>
        <v>#N/A</v>
      </c>
      <c r="F107" s="1" t="s">
        <v>1070</v>
      </c>
      <c r="G107" s="4" t="str">
        <f>HYPERLINK("http://nimonikapp.com/legislations/897","http://nimonikapp.com/legislations/897")</f>
        <v>http://nimonikapp.com/legislations/897</v>
      </c>
      <c r="H107" s="1" t="s">
        <v>18</v>
      </c>
      <c r="I107" s="1" t="s">
        <v>1071</v>
      </c>
      <c r="J107" s="1" t="s">
        <v>1072</v>
      </c>
      <c r="K107" s="5">
        <v>44884.0</v>
      </c>
      <c r="L107" s="5">
        <v>44872.0</v>
      </c>
      <c r="M107" s="5">
        <v>44888.0</v>
      </c>
      <c r="N107" s="1" t="s">
        <v>1073</v>
      </c>
    </row>
    <row r="108" hidden="1">
      <c r="A108" s="1" t="s">
        <v>73</v>
      </c>
      <c r="B108" s="1" t="s">
        <v>25</v>
      </c>
      <c r="C108" s="1" t="s">
        <v>1074</v>
      </c>
      <c r="D108" s="1" t="str">
        <f>Vlookup(C108,'Oil &amp; Gas Documents - Canada'!F:M,2,FALSE)</f>
        <v>#N/A</v>
      </c>
      <c r="E108" s="1" t="str">
        <f>Vlookup(C108,'Oil &amp; Gas Documents - Canada'!F:N,9,FALSE)</f>
        <v>#N/A</v>
      </c>
      <c r="F108" s="1" t="s">
        <v>1075</v>
      </c>
      <c r="G108" s="4" t="str">
        <f>HYPERLINK("http://nimonikapp.com/legislations/319397","http://nimonikapp.com/legislations/319397")</f>
        <v>http://nimonikapp.com/legislations/319397</v>
      </c>
      <c r="H108" s="1" t="s">
        <v>18</v>
      </c>
      <c r="I108" s="1" t="s">
        <v>1076</v>
      </c>
      <c r="J108" s="1" t="s">
        <v>1077</v>
      </c>
      <c r="K108" s="5">
        <v>44882.0</v>
      </c>
      <c r="L108" s="5">
        <v>44882.0</v>
      </c>
      <c r="M108" s="5">
        <v>44888.0</v>
      </c>
      <c r="N108" s="1" t="s">
        <v>1078</v>
      </c>
    </row>
    <row r="109" hidden="1">
      <c r="A109" s="1" t="s">
        <v>73</v>
      </c>
      <c r="B109" s="1" t="s">
        <v>25</v>
      </c>
      <c r="C109" s="1" t="s">
        <v>1079</v>
      </c>
      <c r="D109" s="1" t="str">
        <f>Vlookup(C109,'Oil &amp; Gas Documents - Canada'!F:M,2,FALSE)</f>
        <v>#N/A</v>
      </c>
      <c r="E109" s="1" t="str">
        <f>Vlookup(C109,'Oil &amp; Gas Documents - Canada'!F:N,9,FALSE)</f>
        <v>#N/A</v>
      </c>
      <c r="F109" s="1" t="s">
        <v>1080</v>
      </c>
      <c r="G109" s="4" t="str">
        <f>HYPERLINK("http://nimonikapp.com/legislations/697","http://nimonikapp.com/legislations/697")</f>
        <v>http://nimonikapp.com/legislations/697</v>
      </c>
      <c r="H109" s="1" t="s">
        <v>18</v>
      </c>
      <c r="I109" s="1" t="s">
        <v>1076</v>
      </c>
      <c r="J109" s="1" t="s">
        <v>1077</v>
      </c>
      <c r="K109" s="5">
        <v>44882.0</v>
      </c>
      <c r="L109" s="5">
        <v>44882.0</v>
      </c>
      <c r="M109" s="5">
        <v>44888.0</v>
      </c>
      <c r="N109" s="1" t="s">
        <v>1081</v>
      </c>
    </row>
    <row r="110" hidden="1">
      <c r="A110" s="1" t="s">
        <v>73</v>
      </c>
      <c r="B110" s="1" t="s">
        <v>25</v>
      </c>
      <c r="C110" s="1" t="s">
        <v>1082</v>
      </c>
      <c r="D110" s="1" t="str">
        <f>Vlookup(C110,'Oil &amp; Gas Documents - Canada'!F:M,2,FALSE)</f>
        <v>#N/A</v>
      </c>
      <c r="E110" s="1" t="str">
        <f>Vlookup(C110,'Oil &amp; Gas Documents - Canada'!F:N,9,FALSE)</f>
        <v>#N/A</v>
      </c>
      <c r="F110" s="1" t="s">
        <v>1083</v>
      </c>
      <c r="G110" s="4" t="str">
        <f>HYPERLINK("http://nimonikapp.com/legislations/319402","http://nimonikapp.com/legislations/319402")</f>
        <v>http://nimonikapp.com/legislations/319402</v>
      </c>
      <c r="H110" s="1" t="s">
        <v>18</v>
      </c>
      <c r="I110" s="1" t="s">
        <v>1076</v>
      </c>
      <c r="J110" s="1" t="s">
        <v>1077</v>
      </c>
      <c r="K110" s="5">
        <v>44882.0</v>
      </c>
      <c r="L110" s="5">
        <v>44882.0</v>
      </c>
      <c r="M110" s="5">
        <v>44888.0</v>
      </c>
      <c r="N110" s="1" t="s">
        <v>1084</v>
      </c>
    </row>
    <row r="111" hidden="1">
      <c r="A111" s="1" t="s">
        <v>70</v>
      </c>
      <c r="B111" s="1" t="s">
        <v>25</v>
      </c>
      <c r="C111" s="1" t="s">
        <v>1085</v>
      </c>
      <c r="D111" s="1" t="str">
        <f>Vlookup(C111,'Oil &amp; Gas Documents - Canada'!F:M,2,FALSE)</f>
        <v>#N/A</v>
      </c>
      <c r="E111" s="1" t="str">
        <f>Vlookup(C111,'Oil &amp; Gas Documents - Canada'!F:N,9,FALSE)</f>
        <v>#N/A</v>
      </c>
      <c r="F111" s="1" t="s">
        <v>1086</v>
      </c>
      <c r="G111" s="4" t="str">
        <f>HYPERLINK("http://nimonikapp.com/legislations/110781","http://nimonikapp.com/legislations/110781")</f>
        <v>http://nimonikapp.com/legislations/110781</v>
      </c>
      <c r="H111" s="1" t="s">
        <v>18</v>
      </c>
      <c r="I111" s="1" t="s">
        <v>1087</v>
      </c>
      <c r="J111" s="1" t="s">
        <v>1088</v>
      </c>
      <c r="K111" s="5">
        <v>44898.0</v>
      </c>
      <c r="L111" s="5">
        <v>44881.0</v>
      </c>
      <c r="M111" s="5">
        <v>44888.0</v>
      </c>
      <c r="N111" s="1" t="s">
        <v>1089</v>
      </c>
    </row>
    <row r="112" hidden="1">
      <c r="A112" s="1" t="s">
        <v>70</v>
      </c>
      <c r="B112" s="1" t="s">
        <v>25</v>
      </c>
      <c r="C112" s="1" t="s">
        <v>1090</v>
      </c>
      <c r="D112" s="1" t="str">
        <f>Vlookup(C112,'Oil &amp; Gas Documents - Canada'!F:M,2,FALSE)</f>
        <v>#N/A</v>
      </c>
      <c r="E112" s="1" t="str">
        <f>Vlookup(C112,'Oil &amp; Gas Documents - Canada'!F:N,9,FALSE)</f>
        <v>#N/A</v>
      </c>
      <c r="F112" s="1" t="s">
        <v>1091</v>
      </c>
      <c r="G112" s="4" t="str">
        <f>HYPERLINK("http://nimonikapp.com/legislations/116964","http://nimonikapp.com/legislations/116964")</f>
        <v>http://nimonikapp.com/legislations/116964</v>
      </c>
      <c r="H112" s="1" t="s">
        <v>18</v>
      </c>
      <c r="I112" s="1" t="s">
        <v>1092</v>
      </c>
      <c r="J112" s="1" t="s">
        <v>1093</v>
      </c>
      <c r="K112" s="5">
        <v>44898.0</v>
      </c>
      <c r="L112" s="5">
        <v>44881.0</v>
      </c>
      <c r="M112" s="5">
        <v>44888.0</v>
      </c>
      <c r="N112" s="1" t="s">
        <v>1094</v>
      </c>
    </row>
    <row r="113">
      <c r="A113" s="1" t="s">
        <v>21</v>
      </c>
      <c r="B113" s="1" t="s">
        <v>25</v>
      </c>
      <c r="C113" s="1" t="s">
        <v>82</v>
      </c>
      <c r="D113" s="1" t="str">
        <f>Vlookup(C113,'Oil &amp; Gas Documents - Canada'!F:M,2,FALSE)</f>
        <v>oil_and_gas, mining_and_minerals_industry</v>
      </c>
      <c r="E113" s="1" t="str">
        <f>Vlookup(C113,'Oil &amp; Gas Documents - Canada'!F:N,9,FALSE)</f>
        <v/>
      </c>
      <c r="F113" s="1" t="s">
        <v>81</v>
      </c>
      <c r="G113" s="4" t="str">
        <f>HYPERLINK("http://nimonikapp.com/legislations/116386","http://nimonikapp.com/legislations/116386")</f>
        <v>http://nimonikapp.com/legislations/116386</v>
      </c>
      <c r="H113" s="1" t="s">
        <v>18</v>
      </c>
      <c r="I113" s="1" t="s">
        <v>84</v>
      </c>
      <c r="J113" s="1" t="s">
        <v>85</v>
      </c>
      <c r="K113" s="5">
        <v>44883.0</v>
      </c>
      <c r="L113" s="5">
        <v>44883.0</v>
      </c>
      <c r="M113" s="5">
        <v>44888.0</v>
      </c>
      <c r="N113" s="1" t="s">
        <v>83</v>
      </c>
    </row>
    <row r="114" hidden="1">
      <c r="A114" s="1" t="s">
        <v>73</v>
      </c>
      <c r="B114" s="1" t="s">
        <v>25</v>
      </c>
      <c r="C114" s="1" t="s">
        <v>1033</v>
      </c>
      <c r="D114" s="1" t="str">
        <f>Vlookup(C114,'Oil &amp; Gas Documents - Canada'!F:M,2,FALSE)</f>
        <v>#N/A</v>
      </c>
      <c r="E114" s="1" t="str">
        <f>Vlookup(C114,'Oil &amp; Gas Documents - Canada'!F:N,9,FALSE)</f>
        <v>#N/A</v>
      </c>
      <c r="F114" s="1" t="s">
        <v>1034</v>
      </c>
      <c r="G114" s="4" t="str">
        <f>HYPERLINK("http://nimonikapp.com/legislations/895","http://nimonikapp.com/legislations/895")</f>
        <v>http://nimonikapp.com/legislations/895</v>
      </c>
      <c r="H114" s="1" t="s">
        <v>18</v>
      </c>
      <c r="I114" s="1" t="s">
        <v>1095</v>
      </c>
      <c r="J114" s="1" t="s">
        <v>1096</v>
      </c>
      <c r="K114" s="5">
        <v>44888.0</v>
      </c>
      <c r="L114" s="5">
        <v>44872.0</v>
      </c>
      <c r="M114" s="5">
        <v>44888.0</v>
      </c>
      <c r="N114" s="1" t="s">
        <v>1037</v>
      </c>
    </row>
    <row r="115" hidden="1">
      <c r="A115" s="1" t="s">
        <v>1097</v>
      </c>
      <c r="B115" s="1" t="s">
        <v>25</v>
      </c>
      <c r="C115" s="1" t="s">
        <v>1098</v>
      </c>
      <c r="D115" s="1" t="str">
        <f>Vlookup(C115,'Oil &amp; Gas Documents - Canada'!F:M,2,FALSE)</f>
        <v>#N/A</v>
      </c>
      <c r="E115" s="1" t="str">
        <f>Vlookup(C115,'Oil &amp; Gas Documents - Canada'!F:N,9,FALSE)</f>
        <v>#N/A</v>
      </c>
      <c r="F115" s="1" t="s">
        <v>1099</v>
      </c>
      <c r="G115" s="4" t="str">
        <f>HYPERLINK("http://nimonikapp.com/legislations/274775","http://nimonikapp.com/legislations/274775")</f>
        <v>http://nimonikapp.com/legislations/274775</v>
      </c>
      <c r="H115" s="1" t="s">
        <v>18</v>
      </c>
      <c r="I115" s="1" t="s">
        <v>1100</v>
      </c>
      <c r="J115" s="1" t="s">
        <v>1101</v>
      </c>
      <c r="K115" s="5">
        <v>44873.0</v>
      </c>
      <c r="L115" s="5">
        <v>44873.0</v>
      </c>
      <c r="M115" s="5">
        <v>44888.0</v>
      </c>
      <c r="N115" s="1" t="s">
        <v>1102</v>
      </c>
    </row>
    <row r="116" hidden="1">
      <c r="A116" s="1" t="s">
        <v>1097</v>
      </c>
      <c r="B116" s="1" t="s">
        <v>25</v>
      </c>
      <c r="C116" s="1" t="s">
        <v>1103</v>
      </c>
      <c r="D116" s="1" t="str">
        <f>Vlookup(C116,'Oil &amp; Gas Documents - Canada'!F:M,2,FALSE)</f>
        <v>#N/A</v>
      </c>
      <c r="E116" s="1" t="str">
        <f>Vlookup(C116,'Oil &amp; Gas Documents - Canada'!F:N,9,FALSE)</f>
        <v>#N/A</v>
      </c>
      <c r="F116" s="1" t="s">
        <v>1104</v>
      </c>
      <c r="G116" s="4" t="str">
        <f>HYPERLINK("http://nimonikapp.com/legislations/288080","http://nimonikapp.com/legislations/288080")</f>
        <v>http://nimonikapp.com/legislations/288080</v>
      </c>
      <c r="H116" s="1" t="s">
        <v>18</v>
      </c>
      <c r="I116" s="1" t="s">
        <v>1100</v>
      </c>
      <c r="J116" s="1" t="s">
        <v>1101</v>
      </c>
      <c r="K116" s="5">
        <v>44873.0</v>
      </c>
      <c r="L116" s="5">
        <v>44873.0</v>
      </c>
      <c r="M116" s="5">
        <v>44888.0</v>
      </c>
      <c r="N116" s="1" t="s">
        <v>1102</v>
      </c>
    </row>
    <row r="117" hidden="1">
      <c r="A117" s="1" t="s">
        <v>1105</v>
      </c>
      <c r="B117" s="1" t="s">
        <v>15</v>
      </c>
      <c r="C117" s="1" t="s">
        <v>1106</v>
      </c>
      <c r="D117" s="1" t="str">
        <f>Vlookup(C117,'Oil &amp; Gas Documents - Canada'!F:M,2,FALSE)</f>
        <v>#N/A</v>
      </c>
      <c r="E117" s="1" t="str">
        <f>Vlookup(C117,'Oil &amp; Gas Documents - Canada'!F:N,9,FALSE)</f>
        <v>#N/A</v>
      </c>
      <c r="F117" s="1" t="s">
        <v>1107</v>
      </c>
      <c r="G117" s="4" t="str">
        <f>HYPERLINK("http://nimonikapp.com/legislations/382679","http://nimonikapp.com/legislations/382679")</f>
        <v>http://nimonikapp.com/legislations/382679</v>
      </c>
      <c r="H117" s="1" t="s">
        <v>18</v>
      </c>
      <c r="K117" s="5">
        <v>44881.0</v>
      </c>
      <c r="L117" s="5">
        <v>44881.0</v>
      </c>
      <c r="M117" s="5">
        <v>44886.0</v>
      </c>
    </row>
    <row r="118" hidden="1">
      <c r="A118" s="1" t="s">
        <v>14</v>
      </c>
      <c r="B118" s="1" t="s">
        <v>15</v>
      </c>
      <c r="C118" s="1" t="s">
        <v>1108</v>
      </c>
      <c r="D118" s="1" t="str">
        <f>Vlookup(C118,'Oil &amp; Gas Documents - Canada'!F:M,2,FALSE)</f>
        <v>#N/A</v>
      </c>
      <c r="E118" s="1" t="str">
        <f>Vlookup(C118,'Oil &amp; Gas Documents - Canada'!F:N,9,FALSE)</f>
        <v>#N/A</v>
      </c>
      <c r="F118" s="1" t="s">
        <v>1109</v>
      </c>
      <c r="G118" s="4" t="str">
        <f>HYPERLINK("http://nimonikapp.com/legislations/382715","http://nimonikapp.com/legislations/382715")</f>
        <v>http://nimonikapp.com/legislations/382715</v>
      </c>
      <c r="H118" s="1" t="s">
        <v>69</v>
      </c>
      <c r="K118" s="5">
        <v>44879.0</v>
      </c>
      <c r="M118" s="5">
        <v>44886.0</v>
      </c>
    </row>
    <row r="119" hidden="1">
      <c r="A119" s="1" t="s">
        <v>202</v>
      </c>
      <c r="B119" s="1" t="s">
        <v>25</v>
      </c>
      <c r="C119" s="1" t="s">
        <v>1110</v>
      </c>
      <c r="D119" s="1" t="str">
        <f>Vlookup(C119,'Oil &amp; Gas Documents - Canada'!F:M,2,FALSE)</f>
        <v>#N/A</v>
      </c>
      <c r="E119" s="1" t="str">
        <f>Vlookup(C119,'Oil &amp; Gas Documents - Canada'!F:N,9,FALSE)</f>
        <v>#N/A</v>
      </c>
      <c r="F119" s="1" t="s">
        <v>1111</v>
      </c>
      <c r="G119" s="4" t="str">
        <f>HYPERLINK("http://nimonikapp.com/legislations/980","http://nimonikapp.com/legislations/980")</f>
        <v>http://nimonikapp.com/legislations/980</v>
      </c>
      <c r="H119" s="1" t="s">
        <v>18</v>
      </c>
      <c r="I119" s="1" t="s">
        <v>1112</v>
      </c>
      <c r="J119" s="1" t="s">
        <v>1113</v>
      </c>
      <c r="K119" s="5">
        <v>44881.0</v>
      </c>
      <c r="L119" s="5">
        <v>44896.0</v>
      </c>
      <c r="M119" s="5">
        <v>44886.0</v>
      </c>
      <c r="N119" s="1" t="s">
        <v>1114</v>
      </c>
    </row>
    <row r="120" hidden="1">
      <c r="A120" s="1" t="s">
        <v>1105</v>
      </c>
      <c r="B120" s="1" t="s">
        <v>25</v>
      </c>
      <c r="C120" s="1" t="s">
        <v>1115</v>
      </c>
      <c r="D120" s="1" t="str">
        <f>Vlookup(C120,'Oil &amp; Gas Documents - Canada'!F:M,2,FALSE)</f>
        <v>#N/A</v>
      </c>
      <c r="E120" s="1" t="str">
        <f>Vlookup(C120,'Oil &amp; Gas Documents - Canada'!F:N,9,FALSE)</f>
        <v>#N/A</v>
      </c>
      <c r="F120" s="1" t="s">
        <v>1116</v>
      </c>
      <c r="G120" s="4" t="str">
        <f>HYPERLINK("http://nimonikapp.com/legislations/117829","http://nimonikapp.com/legislations/117829")</f>
        <v>http://nimonikapp.com/legislations/117829</v>
      </c>
      <c r="H120" s="1" t="s">
        <v>18</v>
      </c>
      <c r="I120" s="1" t="s">
        <v>1117</v>
      </c>
      <c r="J120" s="1" t="s">
        <v>1118</v>
      </c>
      <c r="K120" s="5">
        <v>44881.0</v>
      </c>
      <c r="M120" s="5">
        <v>44886.0</v>
      </c>
      <c r="N120" s="1" t="s">
        <v>1119</v>
      </c>
    </row>
    <row r="121" hidden="1">
      <c r="A121" s="1" t="s">
        <v>202</v>
      </c>
      <c r="B121" s="1" t="s">
        <v>25</v>
      </c>
      <c r="C121" s="1" t="s">
        <v>1120</v>
      </c>
      <c r="D121" s="1" t="str">
        <f>Vlookup(C121,'Oil &amp; Gas Documents - Canada'!F:M,2,FALSE)</f>
        <v>#N/A</v>
      </c>
      <c r="E121" s="1" t="str">
        <f>Vlookup(C121,'Oil &amp; Gas Documents - Canada'!F:N,9,FALSE)</f>
        <v>#N/A</v>
      </c>
      <c r="F121" s="1" t="s">
        <v>1121</v>
      </c>
      <c r="G121" s="4" t="str">
        <f>HYPERLINK("http://nimonikapp.com/legislations/114490","http://nimonikapp.com/legislations/114490")</f>
        <v>http://nimonikapp.com/legislations/114490</v>
      </c>
      <c r="H121" s="1" t="s">
        <v>18</v>
      </c>
      <c r="I121" s="1" t="s">
        <v>1122</v>
      </c>
      <c r="J121" s="1" t="s">
        <v>1123</v>
      </c>
      <c r="K121" s="5">
        <v>44882.0</v>
      </c>
      <c r="L121" s="5">
        <v>44743.0</v>
      </c>
      <c r="M121" s="5">
        <v>44886.0</v>
      </c>
      <c r="N121" s="1" t="s">
        <v>1124</v>
      </c>
    </row>
    <row r="122" hidden="1">
      <c r="A122" s="1" t="s">
        <v>53</v>
      </c>
      <c r="B122" s="1" t="s">
        <v>25</v>
      </c>
      <c r="C122" s="1" t="s">
        <v>1125</v>
      </c>
      <c r="D122" s="1" t="str">
        <f>Vlookup(C122,'Oil &amp; Gas Documents - Canada'!F:M,2,FALSE)</f>
        <v>#N/A</v>
      </c>
      <c r="E122" s="1" t="str">
        <f>Vlookup(C122,'Oil &amp; Gas Documents - Canada'!F:N,9,FALSE)</f>
        <v>#N/A</v>
      </c>
      <c r="F122" s="1" t="s">
        <v>1126</v>
      </c>
      <c r="G122" s="4" t="str">
        <f>HYPERLINK("http://nimonikapp.com/legislations/7189","http://nimonikapp.com/legislations/7189")</f>
        <v>http://nimonikapp.com/legislations/7189</v>
      </c>
      <c r="H122" s="1" t="s">
        <v>18</v>
      </c>
      <c r="I122" s="1" t="s">
        <v>1127</v>
      </c>
      <c r="J122" s="1" t="s">
        <v>1128</v>
      </c>
      <c r="K122" s="5">
        <v>44886.0</v>
      </c>
      <c r="L122" s="5">
        <v>44886.0</v>
      </c>
      <c r="M122" s="5">
        <v>44886.0</v>
      </c>
      <c r="N122" s="1" t="s">
        <v>1129</v>
      </c>
    </row>
    <row r="123" hidden="1">
      <c r="A123" s="1" t="s">
        <v>53</v>
      </c>
      <c r="B123" s="1" t="s">
        <v>25</v>
      </c>
      <c r="C123" s="1" t="s">
        <v>1130</v>
      </c>
      <c r="D123" s="1" t="str">
        <f>Vlookup(C123,'Oil &amp; Gas Documents - Canada'!F:M,2,FALSE)</f>
        <v>#N/A</v>
      </c>
      <c r="E123" s="1" t="str">
        <f>Vlookup(C123,'Oil &amp; Gas Documents - Canada'!F:N,9,FALSE)</f>
        <v>#N/A</v>
      </c>
      <c r="F123" s="1" t="s">
        <v>1131</v>
      </c>
      <c r="G123" s="4" t="str">
        <f>HYPERLINK("http://nimonikapp.com/legislations/593","http://nimonikapp.com/legislations/593")</f>
        <v>http://nimonikapp.com/legislations/593</v>
      </c>
      <c r="H123" s="1" t="s">
        <v>18</v>
      </c>
      <c r="I123" s="1" t="s">
        <v>1127</v>
      </c>
      <c r="J123" s="1" t="s">
        <v>1128</v>
      </c>
      <c r="K123" s="5">
        <v>44886.0</v>
      </c>
      <c r="L123" s="5">
        <v>44886.0</v>
      </c>
      <c r="M123" s="5">
        <v>44886.0</v>
      </c>
      <c r="N123" s="1" t="s">
        <v>1132</v>
      </c>
    </row>
    <row r="124" hidden="1">
      <c r="A124" s="1" t="s">
        <v>53</v>
      </c>
      <c r="B124" s="1" t="s">
        <v>25</v>
      </c>
      <c r="C124" s="1" t="s">
        <v>1133</v>
      </c>
      <c r="D124" s="1" t="str">
        <f>Vlookup(C124,'Oil &amp; Gas Documents - Canada'!F:M,2,FALSE)</f>
        <v>#N/A</v>
      </c>
      <c r="E124" s="1" t="str">
        <f>Vlookup(C124,'Oil &amp; Gas Documents - Canada'!F:N,9,FALSE)</f>
        <v>#N/A</v>
      </c>
      <c r="F124" s="1" t="s">
        <v>1134</v>
      </c>
      <c r="G124" s="4" t="str">
        <f>HYPERLINK("http://nimonikapp.com/legislations/15526","http://nimonikapp.com/legislations/15526")</f>
        <v>http://nimonikapp.com/legislations/15526</v>
      </c>
      <c r="H124" s="1" t="s">
        <v>18</v>
      </c>
      <c r="I124" s="1" t="s">
        <v>1135</v>
      </c>
      <c r="J124" s="1" t="s">
        <v>1136</v>
      </c>
      <c r="K124" s="5">
        <v>44874.0</v>
      </c>
      <c r="L124" s="5">
        <v>44927.0</v>
      </c>
      <c r="M124" s="5">
        <v>44886.0</v>
      </c>
      <c r="N124" s="1" t="s">
        <v>1137</v>
      </c>
    </row>
    <row r="125">
      <c r="A125" s="1" t="s">
        <v>53</v>
      </c>
      <c r="B125" s="1" t="s">
        <v>25</v>
      </c>
      <c r="C125" s="1" t="s">
        <v>87</v>
      </c>
      <c r="D125" s="1" t="str">
        <f>Vlookup(C125,'Oil &amp; Gas Documents - Canada'!F:M,2,FALSE)</f>
        <v>oil_and_gas</v>
      </c>
      <c r="E125" s="1" t="str">
        <f>Vlookup(C125,'Oil &amp; Gas Documents - Canada'!F:N,9,FALSE)</f>
        <v/>
      </c>
      <c r="F125" s="1" t="s">
        <v>86</v>
      </c>
      <c r="G125" s="4" t="str">
        <f>HYPERLINK("http://nimonikapp.com/legislations/116982","http://nimonikapp.com/legislations/116982")</f>
        <v>http://nimonikapp.com/legislations/116982</v>
      </c>
      <c r="H125" s="1" t="s">
        <v>18</v>
      </c>
      <c r="I125" s="1" t="s">
        <v>89</v>
      </c>
      <c r="J125" s="1" t="s">
        <v>90</v>
      </c>
      <c r="K125" s="5">
        <v>44874.0</v>
      </c>
      <c r="L125" s="5">
        <v>44874.0</v>
      </c>
      <c r="M125" s="5">
        <v>44886.0</v>
      </c>
      <c r="N125" s="1" t="s">
        <v>88</v>
      </c>
    </row>
    <row r="126" hidden="1">
      <c r="A126" s="1" t="s">
        <v>53</v>
      </c>
      <c r="B126" s="1" t="s">
        <v>25</v>
      </c>
      <c r="C126" s="1" t="s">
        <v>1138</v>
      </c>
      <c r="D126" s="1" t="str">
        <f>Vlookup(C126,'Oil &amp; Gas Documents - Canada'!F:M,2,FALSE)</f>
        <v>#N/A</v>
      </c>
      <c r="E126" s="1" t="str">
        <f>Vlookup(C126,'Oil &amp; Gas Documents - Canada'!F:N,9,FALSE)</f>
        <v>#N/A</v>
      </c>
      <c r="F126" s="1" t="s">
        <v>1139</v>
      </c>
      <c r="G126" s="4" t="str">
        <f>HYPERLINK("http://nimonikapp.com/legislations/137","http://nimonikapp.com/legislations/137")</f>
        <v>http://nimonikapp.com/legislations/137</v>
      </c>
      <c r="H126" s="1" t="s">
        <v>18</v>
      </c>
      <c r="I126" s="1" t="s">
        <v>89</v>
      </c>
      <c r="J126" s="1" t="s">
        <v>90</v>
      </c>
      <c r="K126" s="5">
        <v>44874.0</v>
      </c>
      <c r="L126" s="5">
        <v>44874.0</v>
      </c>
      <c r="M126" s="5">
        <v>44886.0</v>
      </c>
      <c r="N126" s="1" t="s">
        <v>1140</v>
      </c>
    </row>
    <row r="127" hidden="1">
      <c r="A127" s="1" t="s">
        <v>53</v>
      </c>
      <c r="B127" s="1" t="s">
        <v>25</v>
      </c>
      <c r="C127" s="1" t="s">
        <v>1141</v>
      </c>
      <c r="D127" s="1" t="str">
        <f>Vlookup(C127,'Oil &amp; Gas Documents - Canada'!F:M,2,FALSE)</f>
        <v>#N/A</v>
      </c>
      <c r="E127" s="1" t="str">
        <f>Vlookup(C127,'Oil &amp; Gas Documents - Canada'!F:N,9,FALSE)</f>
        <v>#N/A</v>
      </c>
      <c r="F127" s="1" t="s">
        <v>1142</v>
      </c>
      <c r="G127" s="4" t="str">
        <f>HYPERLINK("http://nimonikapp.com/legislations/366308","http://nimonikapp.com/legislations/366308")</f>
        <v>http://nimonikapp.com/legislations/366308</v>
      </c>
      <c r="H127" s="1" t="s">
        <v>18</v>
      </c>
      <c r="I127" s="1" t="s">
        <v>1143</v>
      </c>
      <c r="J127" s="1" t="s">
        <v>1144</v>
      </c>
      <c r="K127" s="5">
        <v>44874.0</v>
      </c>
      <c r="L127" s="5">
        <v>44874.0</v>
      </c>
      <c r="M127" s="5">
        <v>44886.0</v>
      </c>
      <c r="N127" s="1" t="s">
        <v>1145</v>
      </c>
    </row>
    <row r="128">
      <c r="A128" s="1" t="s">
        <v>53</v>
      </c>
      <c r="B128" s="1" t="s">
        <v>25</v>
      </c>
      <c r="C128" s="1" t="s">
        <v>92</v>
      </c>
      <c r="D128" s="1" t="s">
        <v>26</v>
      </c>
      <c r="E128" s="1" t="str">
        <f>Vlookup(C128,'Oil &amp; Gas Documents - Canada'!F:N,9,FALSE)</f>
        <v>#N/A</v>
      </c>
      <c r="F128" s="1" t="s">
        <v>91</v>
      </c>
      <c r="G128" s="4" t="str">
        <f>HYPERLINK("http://nimonikapp.com/legislations/61","http://nimonikapp.com/legislations/61")</f>
        <v>http://nimonikapp.com/legislations/61</v>
      </c>
      <c r="H128" s="1" t="s">
        <v>18</v>
      </c>
      <c r="I128" s="1" t="s">
        <v>94</v>
      </c>
      <c r="J128" s="1" t="s">
        <v>95</v>
      </c>
      <c r="K128" s="5">
        <v>44874.0</v>
      </c>
      <c r="L128" s="5">
        <v>44927.0</v>
      </c>
      <c r="M128" s="5">
        <v>44886.0</v>
      </c>
      <c r="N128" s="1" t="s">
        <v>93</v>
      </c>
    </row>
    <row r="129" hidden="1">
      <c r="A129" s="1" t="s">
        <v>202</v>
      </c>
      <c r="B129" s="1" t="s">
        <v>25</v>
      </c>
      <c r="C129" s="1" t="s">
        <v>1146</v>
      </c>
      <c r="D129" s="1" t="str">
        <f>Vlookup(C129,'Oil &amp; Gas Documents - Canada'!F:M,2,FALSE)</f>
        <v>#N/A</v>
      </c>
      <c r="E129" s="1" t="str">
        <f>Vlookup(C129,'Oil &amp; Gas Documents - Canada'!F:N,9,FALSE)</f>
        <v>#N/A</v>
      </c>
      <c r="F129" s="1" t="s">
        <v>1147</v>
      </c>
      <c r="G129" s="4" t="str">
        <f>HYPERLINK("http://nimonikapp.com/legislations/989","http://nimonikapp.com/legislations/989")</f>
        <v>http://nimonikapp.com/legislations/989</v>
      </c>
      <c r="H129" s="1" t="s">
        <v>18</v>
      </c>
      <c r="I129" s="1" t="s">
        <v>1148</v>
      </c>
      <c r="J129" s="1" t="s">
        <v>1149</v>
      </c>
      <c r="K129" s="5">
        <v>44881.0</v>
      </c>
      <c r="L129" s="5">
        <v>44896.0</v>
      </c>
      <c r="M129" s="5">
        <v>44886.0</v>
      </c>
      <c r="N129" s="1" t="s">
        <v>1150</v>
      </c>
    </row>
    <row r="130" hidden="1">
      <c r="A130" s="1" t="s">
        <v>202</v>
      </c>
      <c r="B130" s="1" t="s">
        <v>25</v>
      </c>
      <c r="C130" s="1" t="s">
        <v>1151</v>
      </c>
      <c r="D130" s="1" t="str">
        <f>Vlookup(C130,'Oil &amp; Gas Documents - Canada'!F:M,2,FALSE)</f>
        <v>#N/A</v>
      </c>
      <c r="E130" s="1" t="str">
        <f>Vlookup(C130,'Oil &amp; Gas Documents - Canada'!F:N,9,FALSE)</f>
        <v>#N/A</v>
      </c>
      <c r="F130" s="1" t="s">
        <v>1152</v>
      </c>
      <c r="G130" s="4" t="str">
        <f>HYPERLINK("http://nimonikapp.com/legislations/986","http://nimonikapp.com/legislations/986")</f>
        <v>http://nimonikapp.com/legislations/986</v>
      </c>
      <c r="H130" s="1" t="s">
        <v>18</v>
      </c>
      <c r="I130" s="1" t="s">
        <v>1148</v>
      </c>
      <c r="J130" s="1" t="s">
        <v>1149</v>
      </c>
      <c r="K130" s="5">
        <v>44881.0</v>
      </c>
      <c r="L130" s="5">
        <v>44896.0</v>
      </c>
      <c r="M130" s="5">
        <v>44886.0</v>
      </c>
      <c r="N130" s="1" t="s">
        <v>1150</v>
      </c>
    </row>
    <row r="131" hidden="1">
      <c r="A131" s="1" t="s">
        <v>53</v>
      </c>
      <c r="B131" s="1" t="s">
        <v>25</v>
      </c>
      <c r="C131" s="1" t="s">
        <v>1153</v>
      </c>
      <c r="D131" s="1" t="str">
        <f>Vlookup(C131,'Oil &amp; Gas Documents - Canada'!F:M,2,FALSE)</f>
        <v>#N/A</v>
      </c>
      <c r="E131" s="1" t="str">
        <f>Vlookup(C131,'Oil &amp; Gas Documents - Canada'!F:N,9,FALSE)</f>
        <v>#N/A</v>
      </c>
      <c r="F131" s="1" t="s">
        <v>1154</v>
      </c>
      <c r="G131" s="4" t="str">
        <f>HYPERLINK("http://nimonikapp.com/legislations/263","http://nimonikapp.com/legislations/263")</f>
        <v>http://nimonikapp.com/legislations/263</v>
      </c>
      <c r="H131" s="1" t="s">
        <v>18</v>
      </c>
      <c r="I131" s="1" t="s">
        <v>1155</v>
      </c>
      <c r="J131" s="1" t="s">
        <v>1156</v>
      </c>
      <c r="K131" s="5">
        <v>44874.0</v>
      </c>
      <c r="M131" s="5">
        <v>44886.0</v>
      </c>
      <c r="N131" s="1" t="s">
        <v>1157</v>
      </c>
    </row>
    <row r="132">
      <c r="A132" s="1" t="s">
        <v>53</v>
      </c>
      <c r="B132" s="1" t="s">
        <v>25</v>
      </c>
      <c r="C132" s="1" t="s">
        <v>97</v>
      </c>
      <c r="D132" s="1" t="s">
        <v>26</v>
      </c>
      <c r="E132" s="1" t="str">
        <f>Vlookup(C132,'Oil &amp; Gas Documents - Canada'!F:N,9,FALSE)</f>
        <v>#N/A</v>
      </c>
      <c r="F132" s="1" t="s">
        <v>96</v>
      </c>
      <c r="G132" s="4" t="str">
        <f>HYPERLINK("http://nimonikapp.com/legislations/366312","http://nimonikapp.com/legislations/366312")</f>
        <v>http://nimonikapp.com/legislations/366312</v>
      </c>
      <c r="H132" s="1" t="s">
        <v>18</v>
      </c>
      <c r="I132" s="1" t="s">
        <v>89</v>
      </c>
      <c r="J132" s="1" t="s">
        <v>90</v>
      </c>
      <c r="K132" s="5">
        <v>44874.0</v>
      </c>
      <c r="L132" s="5">
        <v>44874.0</v>
      </c>
      <c r="M132" s="5">
        <v>44886.0</v>
      </c>
      <c r="N132" s="1" t="s">
        <v>98</v>
      </c>
    </row>
    <row r="133" hidden="1">
      <c r="A133" s="1" t="s">
        <v>53</v>
      </c>
      <c r="B133" s="1" t="s">
        <v>25</v>
      </c>
      <c r="C133" s="1" t="s">
        <v>1158</v>
      </c>
      <c r="D133" s="1" t="str">
        <f>Vlookup(C133,'Oil &amp; Gas Documents - Canada'!F:M,2,FALSE)</f>
        <v>#N/A</v>
      </c>
      <c r="E133" s="1" t="str">
        <f>Vlookup(C133,'Oil &amp; Gas Documents - Canada'!F:N,9,FALSE)</f>
        <v>#N/A</v>
      </c>
      <c r="F133" s="1" t="s">
        <v>1159</v>
      </c>
      <c r="G133" s="4" t="str">
        <f>HYPERLINK("http://nimonikapp.com/legislations/314873","http://nimonikapp.com/legislations/314873")</f>
        <v>http://nimonikapp.com/legislations/314873</v>
      </c>
      <c r="H133" s="1" t="s">
        <v>18</v>
      </c>
      <c r="I133" s="1" t="s">
        <v>1160</v>
      </c>
      <c r="J133" s="1" t="s">
        <v>1161</v>
      </c>
      <c r="K133" s="5">
        <v>44874.0</v>
      </c>
      <c r="L133" s="5">
        <v>44874.0</v>
      </c>
      <c r="M133" s="5">
        <v>44886.0</v>
      </c>
      <c r="N133" s="1" t="s">
        <v>1162</v>
      </c>
    </row>
    <row r="134" hidden="1">
      <c r="A134" s="1" t="s">
        <v>486</v>
      </c>
      <c r="B134" s="1" t="s">
        <v>25</v>
      </c>
      <c r="C134" s="1" t="s">
        <v>1163</v>
      </c>
      <c r="D134" s="1" t="str">
        <f>Vlookup(C134,'Oil &amp; Gas Documents - Canada'!F:M,2,FALSE)</f>
        <v>#N/A</v>
      </c>
      <c r="E134" s="1" t="str">
        <f>Vlookup(C134,'Oil &amp; Gas Documents - Canada'!F:N,9,FALSE)</f>
        <v>#N/A</v>
      </c>
      <c r="F134" s="1" t="s">
        <v>1164</v>
      </c>
      <c r="G134" s="4" t="str">
        <f>HYPERLINK("http://nimonikapp.com/legislations/373700","http://nimonikapp.com/legislations/373700")</f>
        <v>http://nimonikapp.com/legislations/373700</v>
      </c>
      <c r="H134" s="1" t="s">
        <v>18</v>
      </c>
      <c r="I134" s="1" t="s">
        <v>1165</v>
      </c>
      <c r="J134" s="1" t="s">
        <v>1166</v>
      </c>
      <c r="K134" s="5">
        <v>44884.0</v>
      </c>
      <c r="L134" s="5">
        <v>44884.0</v>
      </c>
      <c r="M134" s="5">
        <v>44886.0</v>
      </c>
      <c r="N134" s="1" t="s">
        <v>1167</v>
      </c>
    </row>
    <row r="135" hidden="1">
      <c r="A135" s="1" t="s">
        <v>486</v>
      </c>
      <c r="B135" s="1" t="s">
        <v>25</v>
      </c>
      <c r="C135" s="1" t="s">
        <v>1168</v>
      </c>
      <c r="D135" s="1" t="str">
        <f>Vlookup(C135,'Oil &amp; Gas Documents - Canada'!F:M,2,FALSE)</f>
        <v>#N/A</v>
      </c>
      <c r="E135" s="1" t="str">
        <f>Vlookup(C135,'Oil &amp; Gas Documents - Canada'!F:N,9,FALSE)</f>
        <v>#N/A</v>
      </c>
      <c r="F135" s="1" t="s">
        <v>1169</v>
      </c>
      <c r="G135" s="4" t="str">
        <f>HYPERLINK("http://nimonikapp.com/legislations/373639","http://nimonikapp.com/legislations/373639")</f>
        <v>http://nimonikapp.com/legislations/373639</v>
      </c>
      <c r="H135" s="1" t="s">
        <v>18</v>
      </c>
      <c r="I135" s="1" t="s">
        <v>1170</v>
      </c>
      <c r="J135" s="1" t="s">
        <v>999</v>
      </c>
      <c r="K135" s="5">
        <v>44884.0</v>
      </c>
      <c r="L135" s="5">
        <v>44927.0</v>
      </c>
      <c r="M135" s="5">
        <v>44886.0</v>
      </c>
      <c r="N135" s="1" t="s">
        <v>1167</v>
      </c>
    </row>
    <row r="136" hidden="1">
      <c r="A136" s="1" t="s">
        <v>53</v>
      </c>
      <c r="B136" s="1" t="s">
        <v>352</v>
      </c>
      <c r="C136" s="1" t="s">
        <v>1171</v>
      </c>
      <c r="D136" s="1" t="str">
        <f>Vlookup(C136,'Oil &amp; Gas Documents - Canada'!F:M,2,FALSE)</f>
        <v>#N/A</v>
      </c>
      <c r="E136" s="1" t="str">
        <f>Vlookup(C136,'Oil &amp; Gas Documents - Canada'!F:N,9,FALSE)</f>
        <v>#N/A</v>
      </c>
      <c r="F136" s="1" t="s">
        <v>1172</v>
      </c>
      <c r="G136" s="4" t="str">
        <f>HYPERLINK("http://nimonikapp.com/legislations/366333","http://nimonikapp.com/legislations/366333")</f>
        <v>http://nimonikapp.com/legislations/366333</v>
      </c>
      <c r="H136" s="1" t="s">
        <v>18</v>
      </c>
      <c r="I136" s="1" t="s">
        <v>1173</v>
      </c>
      <c r="J136" s="1" t="s">
        <v>1174</v>
      </c>
      <c r="K136" s="5">
        <v>44874.0</v>
      </c>
      <c r="L136" s="5">
        <v>44896.0</v>
      </c>
      <c r="M136" s="5">
        <v>44886.0</v>
      </c>
      <c r="N136" s="1" t="s">
        <v>1175</v>
      </c>
    </row>
    <row r="137" hidden="1">
      <c r="A137" s="1" t="s">
        <v>486</v>
      </c>
      <c r="B137" s="1" t="s">
        <v>25</v>
      </c>
      <c r="C137" s="1" t="s">
        <v>1176</v>
      </c>
      <c r="D137" s="1" t="str">
        <f>Vlookup(C137,'Oil &amp; Gas Documents - Canada'!F:M,2,FALSE)</f>
        <v>#N/A</v>
      </c>
      <c r="E137" s="1" t="str">
        <f>Vlookup(C137,'Oil &amp; Gas Documents - Canada'!F:N,9,FALSE)</f>
        <v>#N/A</v>
      </c>
      <c r="F137" s="1" t="s">
        <v>1177</v>
      </c>
      <c r="G137" s="4" t="str">
        <f>HYPERLINK("http://nimonikapp.com/legislations/373672","http://nimonikapp.com/legislations/373672")</f>
        <v>http://nimonikapp.com/legislations/373672</v>
      </c>
      <c r="H137" s="1" t="s">
        <v>18</v>
      </c>
      <c r="I137" s="1" t="s">
        <v>1178</v>
      </c>
      <c r="J137" s="1" t="s">
        <v>1179</v>
      </c>
      <c r="K137" s="5">
        <v>44828.0</v>
      </c>
      <c r="L137" s="5">
        <v>44828.0</v>
      </c>
      <c r="M137" s="5">
        <v>44886.0</v>
      </c>
    </row>
    <row r="138" hidden="1">
      <c r="A138" s="1" t="s">
        <v>486</v>
      </c>
      <c r="B138" s="1" t="s">
        <v>25</v>
      </c>
      <c r="C138" s="1" t="s">
        <v>1180</v>
      </c>
      <c r="D138" s="1" t="str">
        <f>Vlookup(C138,'Oil &amp; Gas Documents - Canada'!F:M,2,FALSE)</f>
        <v>#N/A</v>
      </c>
      <c r="E138" s="1" t="str">
        <f>Vlookup(C138,'Oil &amp; Gas Documents - Canada'!F:N,9,FALSE)</f>
        <v>#N/A</v>
      </c>
      <c r="F138" s="1" t="s">
        <v>1181</v>
      </c>
      <c r="G138" s="4" t="str">
        <f>HYPERLINK("http://nimonikapp.com/legislations/378064","http://nimonikapp.com/legislations/378064")</f>
        <v>http://nimonikapp.com/legislations/378064</v>
      </c>
      <c r="H138" s="1" t="s">
        <v>18</v>
      </c>
      <c r="I138" s="1" t="s">
        <v>1182</v>
      </c>
      <c r="J138" s="1" t="s">
        <v>999</v>
      </c>
      <c r="K138" s="5">
        <v>44821.0</v>
      </c>
      <c r="L138" s="5">
        <v>44821.0</v>
      </c>
      <c r="M138" s="5">
        <v>44886.0</v>
      </c>
    </row>
    <row r="139" hidden="1">
      <c r="A139" s="1" t="s">
        <v>486</v>
      </c>
      <c r="B139" s="1" t="s">
        <v>25</v>
      </c>
      <c r="C139" s="1" t="s">
        <v>1176</v>
      </c>
      <c r="D139" s="1" t="str">
        <f>Vlookup(C139,'Oil &amp; Gas Documents - Canada'!F:M,2,FALSE)</f>
        <v>#N/A</v>
      </c>
      <c r="E139" s="1" t="str">
        <f>Vlookup(C139,'Oil &amp; Gas Documents - Canada'!F:N,9,FALSE)</f>
        <v>#N/A</v>
      </c>
      <c r="F139" s="1" t="s">
        <v>1177</v>
      </c>
      <c r="G139" s="4" t="str">
        <f>HYPERLINK("http://nimonikapp.com/legislations/373672","http://nimonikapp.com/legislations/373672")</f>
        <v>http://nimonikapp.com/legislations/373672</v>
      </c>
      <c r="H139" s="1" t="s">
        <v>18</v>
      </c>
      <c r="I139" s="1" t="s">
        <v>1183</v>
      </c>
      <c r="J139" s="1" t="s">
        <v>1179</v>
      </c>
      <c r="K139" s="5">
        <v>44723.0</v>
      </c>
      <c r="L139" s="5">
        <v>44723.0</v>
      </c>
      <c r="M139" s="5">
        <v>44886.0</v>
      </c>
    </row>
    <row r="140" hidden="1">
      <c r="A140" s="1" t="s">
        <v>53</v>
      </c>
      <c r="B140" s="1" t="s">
        <v>25</v>
      </c>
      <c r="C140" s="1" t="s">
        <v>1130</v>
      </c>
      <c r="D140" s="1" t="str">
        <f>Vlookup(C140,'Oil &amp; Gas Documents - Canada'!F:M,2,FALSE)</f>
        <v>#N/A</v>
      </c>
      <c r="E140" s="1" t="str">
        <f>Vlookup(C140,'Oil &amp; Gas Documents - Canada'!F:N,9,FALSE)</f>
        <v>#N/A</v>
      </c>
      <c r="F140" s="1" t="s">
        <v>1131</v>
      </c>
      <c r="G140" s="4" t="str">
        <f>HYPERLINK("http://nimonikapp.com/legislations/593","http://nimonikapp.com/legislations/593")</f>
        <v>http://nimonikapp.com/legislations/593</v>
      </c>
      <c r="H140" s="1" t="s">
        <v>18</v>
      </c>
      <c r="I140" s="1" t="s">
        <v>1184</v>
      </c>
      <c r="J140" s="1" t="s">
        <v>1185</v>
      </c>
      <c r="K140" s="5">
        <v>44874.0</v>
      </c>
      <c r="L140" s="5">
        <v>44896.0</v>
      </c>
      <c r="M140" s="5">
        <v>44886.0</v>
      </c>
      <c r="N140" s="1" t="s">
        <v>1132</v>
      </c>
    </row>
    <row r="141" hidden="1">
      <c r="A141" s="1" t="s">
        <v>53</v>
      </c>
      <c r="B141" s="1" t="s">
        <v>25</v>
      </c>
      <c r="C141" s="1" t="s">
        <v>1125</v>
      </c>
      <c r="D141" s="1" t="str">
        <f>Vlookup(C141,'Oil &amp; Gas Documents - Canada'!F:M,2,FALSE)</f>
        <v>#N/A</v>
      </c>
      <c r="E141" s="1" t="str">
        <f>Vlookup(C141,'Oil &amp; Gas Documents - Canada'!F:N,9,FALSE)</f>
        <v>#N/A</v>
      </c>
      <c r="F141" s="1" t="s">
        <v>1126</v>
      </c>
      <c r="G141" s="4" t="str">
        <f>HYPERLINK("http://nimonikapp.com/legislations/7189","http://nimonikapp.com/legislations/7189")</f>
        <v>http://nimonikapp.com/legislations/7189</v>
      </c>
      <c r="H141" s="1" t="s">
        <v>18</v>
      </c>
      <c r="I141" s="1" t="s">
        <v>1184</v>
      </c>
      <c r="J141" s="1" t="s">
        <v>1185</v>
      </c>
      <c r="K141" s="5">
        <v>44874.0</v>
      </c>
      <c r="L141" s="5">
        <v>44896.0</v>
      </c>
      <c r="M141" s="5">
        <v>44886.0</v>
      </c>
      <c r="N141" s="1" t="s">
        <v>1129</v>
      </c>
    </row>
    <row r="142" hidden="1">
      <c r="A142" s="1" t="s">
        <v>53</v>
      </c>
      <c r="B142" s="1" t="s">
        <v>25</v>
      </c>
      <c r="C142" s="1" t="s">
        <v>1186</v>
      </c>
      <c r="D142" s="1" t="str">
        <f>Vlookup(C142,'Oil &amp; Gas Documents - Canada'!F:M,2,FALSE)</f>
        <v>#N/A</v>
      </c>
      <c r="E142" s="1" t="str">
        <f>Vlookup(C142,'Oil &amp; Gas Documents - Canada'!F:N,9,FALSE)</f>
        <v>#N/A</v>
      </c>
      <c r="F142" s="1" t="s">
        <v>1083</v>
      </c>
      <c r="G142" s="4" t="str">
        <f>HYPERLINK("http://nimonikapp.com/legislations/366318","http://nimonikapp.com/legislations/366318")</f>
        <v>http://nimonikapp.com/legislations/366318</v>
      </c>
      <c r="H142" s="1" t="s">
        <v>18</v>
      </c>
      <c r="I142" s="1" t="s">
        <v>1187</v>
      </c>
      <c r="J142" s="1" t="s">
        <v>1188</v>
      </c>
      <c r="K142" s="5">
        <v>44874.0</v>
      </c>
      <c r="L142" s="5">
        <v>44562.0</v>
      </c>
      <c r="M142" s="5">
        <v>44886.0</v>
      </c>
      <c r="N142" s="1" t="s">
        <v>1189</v>
      </c>
    </row>
    <row r="143" hidden="1">
      <c r="A143" s="1" t="s">
        <v>53</v>
      </c>
      <c r="B143" s="1" t="s">
        <v>25</v>
      </c>
      <c r="C143" s="1" t="s">
        <v>1125</v>
      </c>
      <c r="D143" s="1" t="str">
        <f>Vlookup(C143,'Oil &amp; Gas Documents - Canada'!F:M,2,FALSE)</f>
        <v>#N/A</v>
      </c>
      <c r="E143" s="1" t="str">
        <f>Vlookup(C143,'Oil &amp; Gas Documents - Canada'!F:N,9,FALSE)</f>
        <v>#N/A</v>
      </c>
      <c r="F143" s="1" t="s">
        <v>1126</v>
      </c>
      <c r="G143" s="4" t="str">
        <f>HYPERLINK("http://nimonikapp.com/legislations/7189","http://nimonikapp.com/legislations/7189")</f>
        <v>http://nimonikapp.com/legislations/7189</v>
      </c>
      <c r="H143" s="1" t="s">
        <v>18</v>
      </c>
      <c r="I143" s="1" t="s">
        <v>1190</v>
      </c>
      <c r="J143" s="1" t="s">
        <v>1191</v>
      </c>
      <c r="K143" s="5">
        <v>44874.0</v>
      </c>
      <c r="L143" s="5">
        <v>44874.0</v>
      </c>
      <c r="M143" s="5">
        <v>44886.0</v>
      </c>
      <c r="N143" s="1" t="s">
        <v>1129</v>
      </c>
    </row>
    <row r="144" hidden="1">
      <c r="A144" s="1" t="s">
        <v>53</v>
      </c>
      <c r="B144" s="1" t="s">
        <v>25</v>
      </c>
      <c r="C144" s="1" t="s">
        <v>1158</v>
      </c>
      <c r="D144" s="1" t="str">
        <f>Vlookup(C144,'Oil &amp; Gas Documents - Canada'!F:M,2,FALSE)</f>
        <v>#N/A</v>
      </c>
      <c r="E144" s="1" t="str">
        <f>Vlookup(C144,'Oil &amp; Gas Documents - Canada'!F:N,9,FALSE)</f>
        <v>#N/A</v>
      </c>
      <c r="F144" s="1" t="s">
        <v>1159</v>
      </c>
      <c r="G144" s="4" t="str">
        <f>HYPERLINK("http://nimonikapp.com/legislations/314873","http://nimonikapp.com/legislations/314873")</f>
        <v>http://nimonikapp.com/legislations/314873</v>
      </c>
      <c r="H144" s="1" t="s">
        <v>18</v>
      </c>
      <c r="I144" s="1" t="s">
        <v>1192</v>
      </c>
      <c r="J144" s="1" t="s">
        <v>1193</v>
      </c>
      <c r="K144" s="5">
        <v>44874.0</v>
      </c>
      <c r="L144" s="5">
        <v>44874.0</v>
      </c>
      <c r="M144" s="5">
        <v>44886.0</v>
      </c>
      <c r="N144" s="1" t="s">
        <v>1162</v>
      </c>
    </row>
    <row r="145" hidden="1">
      <c r="A145" s="1" t="s">
        <v>99</v>
      </c>
      <c r="B145" s="1" t="s">
        <v>25</v>
      </c>
      <c r="C145" s="1" t="s">
        <v>1194</v>
      </c>
      <c r="D145" s="1" t="str">
        <f>Vlookup(C145,'Oil &amp; Gas Documents - Canada'!F:M,2,FALSE)</f>
        <v>#N/A</v>
      </c>
      <c r="E145" s="1" t="str">
        <f>Vlookup(C145,'Oil &amp; Gas Documents - Canada'!F:N,9,FALSE)</f>
        <v>#N/A</v>
      </c>
      <c r="F145" s="1" t="s">
        <v>1195</v>
      </c>
      <c r="G145" s="4" t="str">
        <f>HYPERLINK("http://nimonikapp.com/legislations/442","http://nimonikapp.com/legislations/442")</f>
        <v>http://nimonikapp.com/legislations/442</v>
      </c>
      <c r="H145" s="1" t="s">
        <v>18</v>
      </c>
      <c r="I145" s="1" t="s">
        <v>1196</v>
      </c>
      <c r="J145" s="1" t="s">
        <v>1197</v>
      </c>
      <c r="K145" s="5">
        <v>44874.0</v>
      </c>
      <c r="L145" s="5">
        <v>44913.0</v>
      </c>
      <c r="M145" s="5">
        <v>44883.0</v>
      </c>
      <c r="N145" s="1" t="s">
        <v>1198</v>
      </c>
    </row>
    <row r="146" hidden="1">
      <c r="A146" s="1" t="s">
        <v>99</v>
      </c>
      <c r="B146" s="1" t="s">
        <v>25</v>
      </c>
      <c r="C146" s="1" t="s">
        <v>1199</v>
      </c>
      <c r="D146" s="1" t="str">
        <f>Vlookup(C146,'Oil &amp; Gas Documents - Canada'!F:M,2,FALSE)</f>
        <v>#N/A</v>
      </c>
      <c r="E146" s="1" t="str">
        <f>Vlookup(C146,'Oil &amp; Gas Documents - Canada'!F:N,9,FALSE)</f>
        <v>#N/A</v>
      </c>
      <c r="F146" s="1" t="s">
        <v>1200</v>
      </c>
      <c r="G146" s="4" t="str">
        <f>HYPERLINK("http://nimonikapp.com/legislations/372140","http://nimonikapp.com/legislations/372140")</f>
        <v>http://nimonikapp.com/legislations/372140</v>
      </c>
      <c r="H146" s="1" t="s">
        <v>18</v>
      </c>
      <c r="I146" s="1" t="s">
        <v>1201</v>
      </c>
      <c r="J146" s="1" t="s">
        <v>1202</v>
      </c>
      <c r="K146" s="5">
        <v>44874.0</v>
      </c>
      <c r="L146" s="5">
        <v>45017.0</v>
      </c>
      <c r="M146" s="5">
        <v>44883.0</v>
      </c>
      <c r="N146" s="1" t="s">
        <v>1203</v>
      </c>
    </row>
    <row r="147" hidden="1">
      <c r="A147" s="1" t="s">
        <v>99</v>
      </c>
      <c r="B147" s="1" t="s">
        <v>25</v>
      </c>
      <c r="C147" s="1" t="s">
        <v>1204</v>
      </c>
      <c r="D147" s="1" t="str">
        <f>Vlookup(C147,'Oil &amp; Gas Documents - Canada'!F:M,2,FALSE)</f>
        <v>#N/A</v>
      </c>
      <c r="E147" s="1" t="str">
        <f>Vlookup(C147,'Oil &amp; Gas Documents - Canada'!F:N,9,FALSE)</f>
        <v>#N/A</v>
      </c>
      <c r="F147" s="1" t="s">
        <v>1205</v>
      </c>
      <c r="G147" s="4" t="str">
        <f>HYPERLINK("http://nimonikapp.com/legislations/129689","http://nimonikapp.com/legislations/129689")</f>
        <v>http://nimonikapp.com/legislations/129689</v>
      </c>
      <c r="H147" s="1" t="s">
        <v>18</v>
      </c>
      <c r="I147" s="1" t="s">
        <v>1201</v>
      </c>
      <c r="J147" s="1" t="s">
        <v>1202</v>
      </c>
      <c r="K147" s="5">
        <v>44874.0</v>
      </c>
      <c r="L147" s="5">
        <v>45017.0</v>
      </c>
      <c r="M147" s="5">
        <v>44883.0</v>
      </c>
    </row>
    <row r="148" hidden="1">
      <c r="A148" s="1" t="s">
        <v>99</v>
      </c>
      <c r="B148" s="1" t="s">
        <v>25</v>
      </c>
      <c r="C148" s="1" t="s">
        <v>1206</v>
      </c>
      <c r="D148" s="1" t="str">
        <f>Vlookup(C148,'Oil &amp; Gas Documents - Canada'!F:M,2,FALSE)</f>
        <v>#N/A</v>
      </c>
      <c r="E148" s="1" t="str">
        <f>Vlookup(C148,'Oil &amp; Gas Documents - Canada'!F:N,9,FALSE)</f>
        <v>#N/A</v>
      </c>
      <c r="F148" s="1" t="s">
        <v>1207</v>
      </c>
      <c r="G148" s="4" t="str">
        <f>HYPERLINK("http://nimonikapp.com/legislations/4227","http://nimonikapp.com/legislations/4227")</f>
        <v>http://nimonikapp.com/legislations/4227</v>
      </c>
      <c r="H148" s="1" t="s">
        <v>18</v>
      </c>
      <c r="I148" s="1" t="s">
        <v>1201</v>
      </c>
      <c r="J148" s="1" t="s">
        <v>1202</v>
      </c>
      <c r="K148" s="5">
        <v>44874.0</v>
      </c>
      <c r="L148" s="5">
        <v>45017.0</v>
      </c>
      <c r="M148" s="5">
        <v>44883.0</v>
      </c>
      <c r="N148" s="1" t="s">
        <v>1208</v>
      </c>
    </row>
    <row r="149" hidden="1">
      <c r="A149" s="1" t="s">
        <v>99</v>
      </c>
      <c r="B149" s="1" t="s">
        <v>25</v>
      </c>
      <c r="C149" s="1" t="s">
        <v>1209</v>
      </c>
      <c r="D149" s="1" t="str">
        <f>Vlookup(C149,'Oil &amp; Gas Documents - Canada'!F:M,2,FALSE)</f>
        <v>#N/A</v>
      </c>
      <c r="E149" s="1" t="str">
        <f>Vlookup(C149,'Oil &amp; Gas Documents - Canada'!F:N,9,FALSE)</f>
        <v>#N/A</v>
      </c>
      <c r="F149" s="1" t="s">
        <v>1210</v>
      </c>
      <c r="G149" s="4" t="str">
        <f>HYPERLINK("http://nimonikapp.com/legislations/308","http://nimonikapp.com/legislations/308")</f>
        <v>http://nimonikapp.com/legislations/308</v>
      </c>
      <c r="H149" s="1" t="s">
        <v>18</v>
      </c>
      <c r="I149" s="1" t="s">
        <v>1201</v>
      </c>
      <c r="J149" s="1" t="s">
        <v>1202</v>
      </c>
      <c r="K149" s="5">
        <v>44874.0</v>
      </c>
      <c r="L149" s="5">
        <v>45017.0</v>
      </c>
      <c r="M149" s="5">
        <v>44883.0</v>
      </c>
      <c r="N149" s="1" t="s">
        <v>1211</v>
      </c>
    </row>
    <row r="150" hidden="1">
      <c r="A150" s="1" t="s">
        <v>99</v>
      </c>
      <c r="B150" s="1" t="s">
        <v>25</v>
      </c>
      <c r="C150" s="1" t="s">
        <v>1212</v>
      </c>
      <c r="D150" s="1" t="str">
        <f>Vlookup(C150,'Oil &amp; Gas Documents - Canada'!F:M,2,FALSE)</f>
        <v>#N/A</v>
      </c>
      <c r="E150" s="1" t="str">
        <f>Vlookup(C150,'Oil &amp; Gas Documents - Canada'!F:N,9,FALSE)</f>
        <v>#N/A</v>
      </c>
      <c r="F150" s="1" t="s">
        <v>1142</v>
      </c>
      <c r="G150" s="4" t="str">
        <f>HYPERLINK("http://nimonikapp.com/legislations/372103","http://nimonikapp.com/legislations/372103")</f>
        <v>http://nimonikapp.com/legislations/372103</v>
      </c>
      <c r="H150" s="1" t="s">
        <v>18</v>
      </c>
      <c r="I150" s="1" t="s">
        <v>1201</v>
      </c>
      <c r="J150" s="1" t="s">
        <v>1202</v>
      </c>
      <c r="K150" s="5">
        <v>44874.0</v>
      </c>
      <c r="L150" s="5">
        <v>45017.0</v>
      </c>
      <c r="M150" s="5">
        <v>44883.0</v>
      </c>
      <c r="N150" s="1" t="s">
        <v>1203</v>
      </c>
    </row>
    <row r="151" hidden="1">
      <c r="A151" s="1" t="s">
        <v>99</v>
      </c>
      <c r="B151" s="1" t="s">
        <v>25</v>
      </c>
      <c r="C151" s="1" t="s">
        <v>1213</v>
      </c>
      <c r="D151" s="1" t="str">
        <f>Vlookup(C151,'Oil &amp; Gas Documents - Canada'!F:M,2,FALSE)</f>
        <v>#N/A</v>
      </c>
      <c r="E151" s="1" t="str">
        <f>Vlookup(C151,'Oil &amp; Gas Documents - Canada'!F:N,9,FALSE)</f>
        <v>#N/A</v>
      </c>
      <c r="F151" s="1" t="s">
        <v>1214</v>
      </c>
      <c r="G151" s="4" t="str">
        <f>HYPERLINK("http://nimonikapp.com/legislations/367483","http://nimonikapp.com/legislations/367483")</f>
        <v>http://nimonikapp.com/legislations/367483</v>
      </c>
      <c r="H151" s="1" t="s">
        <v>18</v>
      </c>
      <c r="I151" s="1" t="s">
        <v>1201</v>
      </c>
      <c r="J151" s="1" t="s">
        <v>1202</v>
      </c>
      <c r="K151" s="5">
        <v>44874.0</v>
      </c>
      <c r="L151" s="5">
        <v>45017.0</v>
      </c>
      <c r="M151" s="5">
        <v>44883.0</v>
      </c>
      <c r="N151" s="1" t="s">
        <v>1203</v>
      </c>
    </row>
    <row r="152" hidden="1">
      <c r="A152" s="1" t="s">
        <v>99</v>
      </c>
      <c r="B152" s="1" t="s">
        <v>25</v>
      </c>
      <c r="C152" s="1" t="s">
        <v>1215</v>
      </c>
      <c r="D152" s="1" t="str">
        <f>Vlookup(C152,'Oil &amp; Gas Documents - Canada'!F:M,2,FALSE)</f>
        <v>#N/A</v>
      </c>
      <c r="E152" s="1" t="str">
        <f>Vlookup(C152,'Oil &amp; Gas Documents - Canada'!F:N,9,FALSE)</f>
        <v>#N/A</v>
      </c>
      <c r="F152" s="1" t="s">
        <v>1216</v>
      </c>
      <c r="G152" s="4" t="str">
        <f>HYPERLINK("http://nimonikapp.com/legislations/372165","http://nimonikapp.com/legislations/372165")</f>
        <v>http://nimonikapp.com/legislations/372165</v>
      </c>
      <c r="H152" s="1" t="s">
        <v>18</v>
      </c>
      <c r="I152" s="1" t="s">
        <v>1201</v>
      </c>
      <c r="J152" s="1" t="s">
        <v>1202</v>
      </c>
      <c r="K152" s="5">
        <v>44874.0</v>
      </c>
      <c r="L152" s="5">
        <v>45017.0</v>
      </c>
      <c r="M152" s="5">
        <v>44883.0</v>
      </c>
      <c r="N152" s="1" t="s">
        <v>1203</v>
      </c>
    </row>
    <row r="153" hidden="1">
      <c r="A153" s="1" t="s">
        <v>99</v>
      </c>
      <c r="B153" s="1" t="s">
        <v>25</v>
      </c>
      <c r="C153" s="1" t="s">
        <v>1217</v>
      </c>
      <c r="D153" s="1" t="str">
        <f>Vlookup(C153,'Oil &amp; Gas Documents - Canada'!F:M,2,FALSE)</f>
        <v>#N/A</v>
      </c>
      <c r="E153" s="1" t="str">
        <f>Vlookup(C153,'Oil &amp; Gas Documents - Canada'!F:N,9,FALSE)</f>
        <v>#N/A</v>
      </c>
      <c r="F153" s="1" t="s">
        <v>1218</v>
      </c>
      <c r="G153" s="4" t="str">
        <f>HYPERLINK("http://nimonikapp.com/legislations/367482","http://nimonikapp.com/legislations/367482")</f>
        <v>http://nimonikapp.com/legislations/367482</v>
      </c>
      <c r="H153" s="1" t="s">
        <v>18</v>
      </c>
      <c r="I153" s="1" t="s">
        <v>1201</v>
      </c>
      <c r="J153" s="1" t="s">
        <v>1202</v>
      </c>
      <c r="K153" s="5">
        <v>44874.0</v>
      </c>
      <c r="L153" s="5">
        <v>45017.0</v>
      </c>
      <c r="M153" s="5">
        <v>44883.0</v>
      </c>
      <c r="N153" s="1" t="s">
        <v>1203</v>
      </c>
    </row>
    <row r="154" hidden="1">
      <c r="A154" s="1" t="s">
        <v>99</v>
      </c>
      <c r="B154" s="1" t="s">
        <v>25</v>
      </c>
      <c r="C154" s="1" t="s">
        <v>1219</v>
      </c>
      <c r="D154" s="1" t="str">
        <f>Vlookup(C154,'Oil &amp; Gas Documents - Canada'!F:M,2,FALSE)</f>
        <v>#N/A</v>
      </c>
      <c r="E154" s="1" t="str">
        <f>Vlookup(C154,'Oil &amp; Gas Documents - Canada'!F:N,9,FALSE)</f>
        <v>#N/A</v>
      </c>
      <c r="F154" s="1" t="s">
        <v>1220</v>
      </c>
      <c r="G154" s="4" t="str">
        <f>HYPERLINK("http://nimonikapp.com/legislations/125000","http://nimonikapp.com/legislations/125000")</f>
        <v>http://nimonikapp.com/legislations/125000</v>
      </c>
      <c r="H154" s="1" t="s">
        <v>52</v>
      </c>
      <c r="I154" s="1" t="s">
        <v>1201</v>
      </c>
      <c r="J154" s="1" t="s">
        <v>1202</v>
      </c>
      <c r="K154" s="5">
        <v>44874.0</v>
      </c>
      <c r="L154" s="5">
        <v>45017.0</v>
      </c>
      <c r="M154" s="5">
        <v>44883.0</v>
      </c>
      <c r="N154" s="1" t="s">
        <v>1203</v>
      </c>
    </row>
    <row r="155" hidden="1">
      <c r="A155" s="1" t="s">
        <v>99</v>
      </c>
      <c r="B155" s="1" t="s">
        <v>25</v>
      </c>
      <c r="C155" s="1" t="s">
        <v>1221</v>
      </c>
      <c r="D155" s="1" t="str">
        <f>Vlookup(C155,'Oil &amp; Gas Documents - Canada'!F:M,2,FALSE)</f>
        <v>#N/A</v>
      </c>
      <c r="E155" s="1" t="str">
        <f>Vlookup(C155,'Oil &amp; Gas Documents - Canada'!F:N,9,FALSE)</f>
        <v>#N/A</v>
      </c>
      <c r="F155" s="1" t="s">
        <v>1222</v>
      </c>
      <c r="G155" s="4" t="str">
        <f>HYPERLINK("http://nimonikapp.com/legislations/372188","http://nimonikapp.com/legislations/372188")</f>
        <v>http://nimonikapp.com/legislations/372188</v>
      </c>
      <c r="H155" s="1" t="s">
        <v>18</v>
      </c>
      <c r="I155" s="1" t="s">
        <v>1223</v>
      </c>
      <c r="J155" s="1" t="s">
        <v>1224</v>
      </c>
      <c r="K155" s="5">
        <v>44715.0</v>
      </c>
      <c r="L155" s="5">
        <v>44746.0</v>
      </c>
      <c r="M155" s="5">
        <v>44883.0</v>
      </c>
      <c r="N155" s="1" t="s">
        <v>1225</v>
      </c>
    </row>
    <row r="156" hidden="1">
      <c r="A156" s="1" t="s">
        <v>99</v>
      </c>
      <c r="B156" s="1" t="s">
        <v>25</v>
      </c>
      <c r="C156" s="1" t="s">
        <v>1226</v>
      </c>
      <c r="D156" s="1" t="str">
        <f>Vlookup(C156,'Oil &amp; Gas Documents - Canada'!F:M,2,FALSE)</f>
        <v>#N/A</v>
      </c>
      <c r="E156" s="1" t="str">
        <f>Vlookup(C156,'Oil &amp; Gas Documents - Canada'!F:N,9,FALSE)</f>
        <v>#N/A</v>
      </c>
      <c r="F156" s="1" t="s">
        <v>1227</v>
      </c>
      <c r="G156" s="4" t="str">
        <f>HYPERLINK("http://nimonikapp.com/legislations/372263","http://nimonikapp.com/legislations/372263")</f>
        <v>http://nimonikapp.com/legislations/372263</v>
      </c>
      <c r="H156" s="1" t="s">
        <v>18</v>
      </c>
      <c r="I156" s="1" t="s">
        <v>1228</v>
      </c>
      <c r="J156" s="1" t="s">
        <v>1229</v>
      </c>
      <c r="K156" s="5">
        <v>44722.0</v>
      </c>
      <c r="L156" s="5">
        <v>44722.0</v>
      </c>
      <c r="M156" s="5">
        <v>44883.0</v>
      </c>
    </row>
    <row r="157">
      <c r="A157" s="1" t="s">
        <v>99</v>
      </c>
      <c r="B157" s="1" t="s">
        <v>25</v>
      </c>
      <c r="C157" s="1" t="s">
        <v>101</v>
      </c>
      <c r="D157" s="1" t="str">
        <f>Vlookup(C157,'Oil &amp; Gas Documents - Canada'!F:M,2,FALSE)</f>
        <v>oil_and_gas, utilities_and_communications</v>
      </c>
      <c r="E157" s="1" t="str">
        <f>Vlookup(C157,'Oil &amp; Gas Documents - Canada'!F:N,9,FALSE)</f>
        <v>2. In these regulations
(a) "Act" means the Petroleum Products Act ,
(a.01) "alternative benchmark" means, with respect to a type, grade or component of heating fuel or motor fuel, a reported product price assessment other than the reported product price assessments set out in the Schedule,
(a.1) "benchmark" means, with respect to a type, grade or component of heating fuel or motor fuel,
(i) the reported product price assessment by Platts and by Bloombergs or OPIS in the case of propane, and as set out in the Schedule, and
(ii) notwithstanding subparagraph (i), with respect to mid-grade and premium unleaded gasoline, the product price assessment for Unl 87,
(b) "Bloombergs" means Bloombergs Oil Buyers Guide,
(c) "maximum retail price" means the petroleum product base price for a type of heating fuel or motor fuel, which constitutes the maximum price chargeable by a retailer to a consumer for that type of heating fuel or motor fuel,
(d) "maximum wholesale price" means the petroleum product base price for a type of heating fuel or motor fuel, which constitutes the maximum price chargeable by a wholesaler to a retailer for that type of heating fuel or motor fuel,
(d.1) "OPIS" means Oil Price Information Service price report,
(e) "Platts" means Platts Oilgram Price Report, and
(f) "point of sale" means
(i) with respect to the sale of heating fuel or motor fuel by a wholesaler to a retailer, the location of the outlet from which the retailer intends to sell the heating fuel or motor fuel to consumers, or
(ii) with respect to the sale of heating fuel or motor fuel by a retailer to a consumer, the location at which the heating fuel or motor fuel is delivered to the consumer.
3. (1) Within 30 days after these regulations come into force, every wholesaler and retailer shall provide the board, in writing, with
(a) the name of an individual and the individual’s position title, designated by the wholesaler or retailer, to receive all notices, decisions, requests, correspondence and other communications from the board on behalf of that wholesaler or retailer, and
(b) contact information for the wholesaler or retailer, including where possible
(i) a mailing address,
(ii) a telephone number,
(iii) a facsimile number, and
(iv) an electronic mail address.
(2) A person who becomes a wholesaler or retailer after these regulations come into force shall provide the board with the information set out in subsection (1) within 30 days of becoming a wholesaler or retailer.
6. (1) A wholesaler shall not charge a price to a retailer for heating fuel or motor fuel greater than the maximum wholesale price for the zone within which the point of sale is located.
(2) A retailer shall not charge a price to a consumer for heating fuel or motor fuel greater than the maximum retail price for the zone within which the point of sale is located.
(3) Notwithstanding subsections (1) and (2), the board may, in accordance with the Act and these regulations, set a different maximum wholesale price or retail price that a wholesaler or retailer may charge for heating fuel or motor fuel within a zone.
8. Unless authorized by the board, a wholesaler or retailer shall not disclose to any other person a price established by the board before the date on which the price comes into force.</v>
      </c>
      <c r="F157" s="1" t="s">
        <v>100</v>
      </c>
      <c r="G157" s="4" t="str">
        <f>HYPERLINK("http://nimonikapp.com/legislations/367523","http://nimonikapp.com/legislations/367523")</f>
        <v>http://nimonikapp.com/legislations/367523</v>
      </c>
      <c r="H157" s="1" t="s">
        <v>18</v>
      </c>
      <c r="I157" s="1" t="s">
        <v>102</v>
      </c>
      <c r="J157" s="1" t="s">
        <v>103</v>
      </c>
      <c r="K157" s="5">
        <v>44715.0</v>
      </c>
      <c r="L157" s="5">
        <v>44715.0</v>
      </c>
      <c r="M157" s="5">
        <v>44883.0</v>
      </c>
    </row>
    <row r="158" hidden="1">
      <c r="A158" s="1" t="s">
        <v>99</v>
      </c>
      <c r="B158" s="1" t="s">
        <v>25</v>
      </c>
      <c r="C158" s="1" t="s">
        <v>1230</v>
      </c>
      <c r="D158" s="1" t="str">
        <f>Vlookup(C158,'Oil &amp; Gas Documents - Canada'!F:M,2,FALSE)</f>
        <v>#N/A</v>
      </c>
      <c r="E158" s="1" t="str">
        <f>Vlookup(C158,'Oil &amp; Gas Documents - Canada'!F:N,9,FALSE)</f>
        <v>#N/A</v>
      </c>
      <c r="F158" s="1" t="s">
        <v>1231</v>
      </c>
      <c r="G158" s="4" t="str">
        <f>HYPERLINK("http://nimonikapp.com/legislations/378117","http://nimonikapp.com/legislations/378117")</f>
        <v>http://nimonikapp.com/legislations/378117</v>
      </c>
      <c r="H158" s="1" t="s">
        <v>18</v>
      </c>
      <c r="I158" s="1" t="s">
        <v>1232</v>
      </c>
      <c r="J158" s="1" t="s">
        <v>1233</v>
      </c>
      <c r="K158" s="5">
        <v>44750.0</v>
      </c>
      <c r="L158" s="5">
        <v>44750.0</v>
      </c>
      <c r="M158" s="5">
        <v>44883.0</v>
      </c>
    </row>
    <row r="159" hidden="1">
      <c r="A159" s="1" t="s">
        <v>99</v>
      </c>
      <c r="B159" s="1" t="s">
        <v>25</v>
      </c>
      <c r="C159" s="1" t="s">
        <v>1234</v>
      </c>
      <c r="D159" s="1" t="str">
        <f>Vlookup(C159,'Oil &amp; Gas Documents - Canada'!F:M,2,FALSE)</f>
        <v>#N/A</v>
      </c>
      <c r="E159" s="1" t="str">
        <f>Vlookup(C159,'Oil &amp; Gas Documents - Canada'!F:N,9,FALSE)</f>
        <v>#N/A</v>
      </c>
      <c r="F159" s="1" t="s">
        <v>1235</v>
      </c>
      <c r="G159" s="4" t="str">
        <f>HYPERLINK("http://nimonikapp.com/legislations/372266","http://nimonikapp.com/legislations/372266")</f>
        <v>http://nimonikapp.com/legislations/372266</v>
      </c>
      <c r="H159" s="1" t="s">
        <v>18</v>
      </c>
      <c r="I159" s="1" t="s">
        <v>1236</v>
      </c>
      <c r="J159" s="1" t="s">
        <v>1237</v>
      </c>
      <c r="K159" s="5">
        <v>44742.0</v>
      </c>
      <c r="L159" s="5">
        <v>44835.0</v>
      </c>
      <c r="M159" s="5">
        <v>44883.0</v>
      </c>
    </row>
    <row r="160" hidden="1">
      <c r="A160" s="1" t="s">
        <v>99</v>
      </c>
      <c r="B160" s="1" t="s">
        <v>25</v>
      </c>
      <c r="C160" s="1" t="s">
        <v>1238</v>
      </c>
      <c r="D160" s="1" t="str">
        <f>Vlookup(C160,'Oil &amp; Gas Documents - Canada'!F:M,2,FALSE)</f>
        <v>#N/A</v>
      </c>
      <c r="E160" s="1" t="str">
        <f>Vlookup(C160,'Oil &amp; Gas Documents - Canada'!F:N,9,FALSE)</f>
        <v>#N/A</v>
      </c>
      <c r="F160" s="1" t="s">
        <v>1239</v>
      </c>
      <c r="G160" s="4" t="str">
        <f>HYPERLINK("http://nimonikapp.com/legislations/372180","http://nimonikapp.com/legislations/372180")</f>
        <v>http://nimonikapp.com/legislations/372180</v>
      </c>
      <c r="H160" s="1" t="s">
        <v>18</v>
      </c>
      <c r="I160" s="1" t="s">
        <v>1240</v>
      </c>
      <c r="J160" s="1" t="s">
        <v>1241</v>
      </c>
      <c r="K160" s="5">
        <v>44792.0</v>
      </c>
      <c r="L160" s="5">
        <v>44714.0</v>
      </c>
      <c r="M160" s="5">
        <v>44883.0</v>
      </c>
      <c r="N160" s="1" t="s">
        <v>123</v>
      </c>
    </row>
    <row r="161" hidden="1">
      <c r="A161" s="1" t="s">
        <v>53</v>
      </c>
      <c r="B161" s="1" t="s">
        <v>25</v>
      </c>
      <c r="C161" s="1" t="s">
        <v>1242</v>
      </c>
      <c r="D161" s="1" t="str">
        <f>Vlookup(C161,'Oil &amp; Gas Documents - Canada'!F:M,2,FALSE)</f>
        <v>#N/A</v>
      </c>
      <c r="E161" s="1" t="str">
        <f>Vlookup(C161,'Oil &amp; Gas Documents - Canada'!F:N,9,FALSE)</f>
        <v>#N/A</v>
      </c>
      <c r="F161" s="1" t="s">
        <v>1243</v>
      </c>
      <c r="G161" s="4" t="str">
        <f>HYPERLINK("http://nimonikapp.com/legislations/1481","http://nimonikapp.com/legislations/1481")</f>
        <v>http://nimonikapp.com/legislations/1481</v>
      </c>
      <c r="H161" s="1" t="s">
        <v>18</v>
      </c>
      <c r="I161" s="1" t="s">
        <v>1244</v>
      </c>
      <c r="J161" s="1" t="s">
        <v>1245</v>
      </c>
      <c r="K161" s="5">
        <v>44883.0</v>
      </c>
      <c r="L161" s="5">
        <v>44862.0</v>
      </c>
      <c r="M161" s="5">
        <v>44883.0</v>
      </c>
      <c r="N161" s="1" t="s">
        <v>1246</v>
      </c>
    </row>
    <row r="162" hidden="1">
      <c r="A162" s="1" t="s">
        <v>99</v>
      </c>
      <c r="B162" s="1" t="s">
        <v>25</v>
      </c>
      <c r="C162" s="1" t="s">
        <v>1247</v>
      </c>
      <c r="D162" s="1" t="str">
        <f>Vlookup(C162,'Oil &amp; Gas Documents - Canada'!F:M,2,FALSE)</f>
        <v>#N/A</v>
      </c>
      <c r="E162" s="1" t="str">
        <f>Vlookup(C162,'Oil &amp; Gas Documents - Canada'!F:N,9,FALSE)</f>
        <v>#N/A</v>
      </c>
      <c r="F162" s="1" t="s">
        <v>1248</v>
      </c>
      <c r="G162" s="4" t="str">
        <f>HYPERLINK("http://nimonikapp.com/legislations/366841","http://nimonikapp.com/legislations/366841")</f>
        <v>http://nimonikapp.com/legislations/366841</v>
      </c>
      <c r="H162" s="1" t="s">
        <v>18</v>
      </c>
      <c r="I162" s="1" t="s">
        <v>1249</v>
      </c>
      <c r="J162" s="1" t="s">
        <v>1250</v>
      </c>
      <c r="K162" s="5">
        <v>44813.0</v>
      </c>
      <c r="L162" s="5">
        <v>44813.0</v>
      </c>
      <c r="M162" s="5">
        <v>44883.0</v>
      </c>
    </row>
    <row r="163" hidden="1">
      <c r="A163" s="1" t="s">
        <v>99</v>
      </c>
      <c r="B163" s="1" t="s">
        <v>25</v>
      </c>
      <c r="C163" s="1" t="s">
        <v>1251</v>
      </c>
      <c r="D163" s="1" t="str">
        <f>Vlookup(C163,'Oil &amp; Gas Documents - Canada'!F:M,2,FALSE)</f>
        <v>#N/A</v>
      </c>
      <c r="E163" s="1" t="str">
        <f>Vlookup(C163,'Oil &amp; Gas Documents - Canada'!F:N,9,FALSE)</f>
        <v>#N/A</v>
      </c>
      <c r="F163" s="1" t="s">
        <v>1252</v>
      </c>
      <c r="G163" s="4" t="str">
        <f>HYPERLINK("http://nimonikapp.com/legislations/372231","http://nimonikapp.com/legislations/372231")</f>
        <v>http://nimonikapp.com/legislations/372231</v>
      </c>
      <c r="H163" s="1" t="s">
        <v>18</v>
      </c>
      <c r="I163" s="1" t="s">
        <v>1253</v>
      </c>
      <c r="J163" s="1" t="s">
        <v>1254</v>
      </c>
      <c r="K163" s="5">
        <v>44806.0</v>
      </c>
      <c r="L163" s="5">
        <v>44806.0</v>
      </c>
      <c r="M163" s="5">
        <v>44883.0</v>
      </c>
    </row>
    <row r="164" hidden="1">
      <c r="A164" s="1" t="s">
        <v>53</v>
      </c>
      <c r="B164" s="1" t="s">
        <v>25</v>
      </c>
      <c r="C164" s="1" t="s">
        <v>1255</v>
      </c>
      <c r="D164" s="1" t="str">
        <f>Vlookup(C164,'Oil &amp; Gas Documents - Canada'!F:M,2,FALSE)</f>
        <v>#N/A</v>
      </c>
      <c r="E164" s="1" t="str">
        <f>Vlookup(C164,'Oil &amp; Gas Documents - Canada'!F:N,9,FALSE)</f>
        <v>#N/A</v>
      </c>
      <c r="F164" s="1" t="s">
        <v>1256</v>
      </c>
      <c r="G164" s="4" t="str">
        <f>HYPERLINK("http://nimonikapp.com/legislations/366379","http://nimonikapp.com/legislations/366379")</f>
        <v>http://nimonikapp.com/legislations/366379</v>
      </c>
      <c r="H164" s="1" t="s">
        <v>18</v>
      </c>
      <c r="I164" s="1" t="s">
        <v>1257</v>
      </c>
      <c r="J164" s="1" t="s">
        <v>1258</v>
      </c>
      <c r="K164" s="5">
        <v>44874.0</v>
      </c>
      <c r="L164" s="5">
        <v>44874.0</v>
      </c>
      <c r="M164" s="5">
        <v>44883.0</v>
      </c>
      <c r="N164" s="1" t="s">
        <v>1259</v>
      </c>
    </row>
    <row r="165" hidden="1">
      <c r="A165" s="1" t="s">
        <v>53</v>
      </c>
      <c r="B165" s="1" t="s">
        <v>25</v>
      </c>
      <c r="C165" s="1" t="s">
        <v>1260</v>
      </c>
      <c r="D165" s="1" t="str">
        <f>Vlookup(C165,'Oil &amp; Gas Documents - Canada'!F:M,2,FALSE)</f>
        <v>#N/A</v>
      </c>
      <c r="E165" s="1" t="str">
        <f>Vlookup(C165,'Oil &amp; Gas Documents - Canada'!F:N,9,FALSE)</f>
        <v>#N/A</v>
      </c>
      <c r="F165" s="1" t="s">
        <v>1261</v>
      </c>
      <c r="G165" s="4" t="str">
        <f>HYPERLINK("http://nimonikapp.com/legislations/366383","http://nimonikapp.com/legislations/366383")</f>
        <v>http://nimonikapp.com/legislations/366383</v>
      </c>
      <c r="H165" s="1" t="s">
        <v>18</v>
      </c>
      <c r="I165" s="1" t="s">
        <v>1262</v>
      </c>
      <c r="J165" s="1" t="s">
        <v>1263</v>
      </c>
      <c r="K165" s="5">
        <v>44874.0</v>
      </c>
      <c r="M165" s="5">
        <v>44883.0</v>
      </c>
      <c r="N165" s="1" t="s">
        <v>1264</v>
      </c>
    </row>
    <row r="166" hidden="1">
      <c r="A166" s="1" t="s">
        <v>53</v>
      </c>
      <c r="B166" s="1" t="s">
        <v>25</v>
      </c>
      <c r="C166" s="1" t="s">
        <v>1265</v>
      </c>
      <c r="D166" s="1" t="str">
        <f>Vlookup(C166,'Oil &amp; Gas Documents - Canada'!F:M,2,FALSE)</f>
        <v>#N/A</v>
      </c>
      <c r="E166" s="1" t="str">
        <f>Vlookup(C166,'Oil &amp; Gas Documents - Canada'!F:N,9,FALSE)</f>
        <v>#N/A</v>
      </c>
      <c r="F166" s="1" t="s">
        <v>1266</v>
      </c>
      <c r="G166" s="4" t="str">
        <f>HYPERLINK("http://nimonikapp.com/legislations/366302","http://nimonikapp.com/legislations/366302")</f>
        <v>http://nimonikapp.com/legislations/366302</v>
      </c>
      <c r="H166" s="1" t="s">
        <v>18</v>
      </c>
      <c r="I166" s="1" t="s">
        <v>1262</v>
      </c>
      <c r="J166" s="1" t="s">
        <v>1263</v>
      </c>
      <c r="K166" s="5">
        <v>44874.0</v>
      </c>
      <c r="M166" s="5">
        <v>44883.0</v>
      </c>
      <c r="N166" s="1" t="s">
        <v>1267</v>
      </c>
    </row>
    <row r="167" hidden="1">
      <c r="A167" s="1" t="s">
        <v>557</v>
      </c>
      <c r="B167" s="1" t="s">
        <v>15</v>
      </c>
      <c r="C167" s="1" t="s">
        <v>1268</v>
      </c>
      <c r="D167" s="1" t="str">
        <f>Vlookup(C167,'Oil &amp; Gas Documents - Canada'!F:M,2,FALSE)</f>
        <v>#N/A</v>
      </c>
      <c r="E167" s="1" t="str">
        <f>Vlookup(C167,'Oil &amp; Gas Documents - Canada'!F:N,9,FALSE)</f>
        <v>#N/A</v>
      </c>
      <c r="F167" s="1" t="s">
        <v>1269</v>
      </c>
      <c r="G167" s="4" t="str">
        <f>HYPERLINK("http://nimonikapp.com/legislations/382560","http://nimonikapp.com/legislations/382560")</f>
        <v>http://nimonikapp.com/legislations/382560</v>
      </c>
      <c r="H167" s="1" t="s">
        <v>69</v>
      </c>
      <c r="K167" s="5">
        <v>44873.0</v>
      </c>
      <c r="M167" s="5">
        <v>44882.0</v>
      </c>
    </row>
    <row r="168" hidden="1">
      <c r="A168" s="1" t="s">
        <v>24</v>
      </c>
      <c r="B168" s="1" t="s">
        <v>15</v>
      </c>
      <c r="C168" s="1" t="s">
        <v>1270</v>
      </c>
      <c r="D168" s="1" t="str">
        <f>Vlookup(C168,'Oil &amp; Gas Documents - Canada'!F:M,2,FALSE)</f>
        <v>#N/A</v>
      </c>
      <c r="E168" s="1" t="str">
        <f>Vlookup(C168,'Oil &amp; Gas Documents - Canada'!F:N,9,FALSE)</f>
        <v>#N/A</v>
      </c>
      <c r="F168" s="1" t="s">
        <v>1271</v>
      </c>
      <c r="G168" s="4" t="str">
        <f>HYPERLINK("http://nimonikapp.com/legislations/382573","http://nimonikapp.com/legislations/382573")</f>
        <v>http://nimonikapp.com/legislations/382573</v>
      </c>
      <c r="H168" s="1" t="s">
        <v>69</v>
      </c>
      <c r="K168" s="5">
        <v>44882.0</v>
      </c>
      <c r="M168" s="5">
        <v>44882.0</v>
      </c>
    </row>
    <row r="169" hidden="1">
      <c r="A169" s="1" t="s">
        <v>221</v>
      </c>
      <c r="B169" s="1" t="s">
        <v>25</v>
      </c>
      <c r="C169" s="1" t="s">
        <v>1272</v>
      </c>
      <c r="D169" s="1" t="str">
        <f>Vlookup(C169,'Oil &amp; Gas Documents - Canada'!F:M,2,FALSE)</f>
        <v>#N/A</v>
      </c>
      <c r="E169" s="1" t="str">
        <f>Vlookup(C169,'Oil &amp; Gas Documents - Canada'!F:N,9,FALSE)</f>
        <v>#N/A</v>
      </c>
      <c r="F169" s="1" t="s">
        <v>1273</v>
      </c>
      <c r="G169" s="4" t="str">
        <f>HYPERLINK("http://nimonikapp.com/legislations/242","http://nimonikapp.com/legislations/242")</f>
        <v>http://nimonikapp.com/legislations/242</v>
      </c>
      <c r="H169" s="1" t="s">
        <v>18</v>
      </c>
      <c r="I169" s="1" t="s">
        <v>1274</v>
      </c>
      <c r="J169" s="1" t="s">
        <v>1275</v>
      </c>
      <c r="K169" s="5">
        <v>44868.0</v>
      </c>
      <c r="L169" s="5">
        <v>44868.0</v>
      </c>
      <c r="M169" s="5">
        <v>44882.0</v>
      </c>
      <c r="N169" s="1" t="s">
        <v>1276</v>
      </c>
    </row>
    <row r="170" hidden="1">
      <c r="A170" s="1" t="s">
        <v>99</v>
      </c>
      <c r="B170" s="1" t="s">
        <v>25</v>
      </c>
      <c r="C170" s="1" t="s">
        <v>1277</v>
      </c>
      <c r="D170" s="1" t="str">
        <f>Vlookup(C170,'Oil &amp; Gas Documents - Canada'!F:M,2,FALSE)</f>
        <v>#N/A</v>
      </c>
      <c r="E170" s="1" t="str">
        <f>Vlookup(C170,'Oil &amp; Gas Documents - Canada'!F:N,9,FALSE)</f>
        <v>#N/A</v>
      </c>
      <c r="F170" s="1" t="s">
        <v>1104</v>
      </c>
      <c r="G170" s="4" t="str">
        <f>HYPERLINK("http://nimonikapp.com/legislations/118514","http://nimonikapp.com/legislations/118514")</f>
        <v>http://nimonikapp.com/legislations/118514</v>
      </c>
      <c r="H170" s="1" t="s">
        <v>18</v>
      </c>
      <c r="I170" s="1" t="s">
        <v>1278</v>
      </c>
      <c r="J170" s="1" t="s">
        <v>1279</v>
      </c>
      <c r="K170" s="5">
        <v>44874.0</v>
      </c>
      <c r="L170" s="5">
        <v>45017.0</v>
      </c>
      <c r="M170" s="5">
        <v>44882.0</v>
      </c>
      <c r="N170" s="1" t="s">
        <v>1280</v>
      </c>
    </row>
    <row r="171" hidden="1">
      <c r="A171" s="1" t="s">
        <v>99</v>
      </c>
      <c r="B171" s="1" t="s">
        <v>25</v>
      </c>
      <c r="C171" s="1" t="s">
        <v>1281</v>
      </c>
      <c r="D171" s="1" t="str">
        <f>Vlookup(C171,'Oil &amp; Gas Documents - Canada'!F:M,2,FALSE)</f>
        <v>#N/A</v>
      </c>
      <c r="E171" s="1" t="str">
        <f>Vlookup(C171,'Oil &amp; Gas Documents - Canada'!F:N,9,FALSE)</f>
        <v>#N/A</v>
      </c>
      <c r="F171" s="1" t="s">
        <v>1282</v>
      </c>
      <c r="G171" s="4" t="str">
        <f>HYPERLINK("http://nimonikapp.com/legislations/372115","http://nimonikapp.com/legislations/372115")</f>
        <v>http://nimonikapp.com/legislations/372115</v>
      </c>
      <c r="H171" s="1" t="s">
        <v>18</v>
      </c>
      <c r="I171" s="1" t="s">
        <v>1278</v>
      </c>
      <c r="J171" s="1" t="s">
        <v>1279</v>
      </c>
      <c r="K171" s="5">
        <v>44874.0</v>
      </c>
      <c r="L171" s="5">
        <v>45017.0</v>
      </c>
      <c r="M171" s="5">
        <v>44882.0</v>
      </c>
      <c r="N171" s="1" t="s">
        <v>1283</v>
      </c>
    </row>
    <row r="172" hidden="1">
      <c r="A172" s="1" t="s">
        <v>66</v>
      </c>
      <c r="B172" s="1" t="s">
        <v>25</v>
      </c>
      <c r="C172" s="1" t="s">
        <v>1284</v>
      </c>
      <c r="D172" s="1" t="str">
        <f>Vlookup(C172,'Oil &amp; Gas Documents - Canada'!F:M,2,FALSE)</f>
        <v>#N/A</v>
      </c>
      <c r="E172" s="1" t="str">
        <f>Vlookup(C172,'Oil &amp; Gas Documents - Canada'!F:N,9,FALSE)</f>
        <v>#N/A</v>
      </c>
      <c r="F172" s="1" t="s">
        <v>1285</v>
      </c>
      <c r="G172" s="4" t="str">
        <f>HYPERLINK("http://nimonikapp.com/legislations/7129","http://nimonikapp.com/legislations/7129")</f>
        <v>http://nimonikapp.com/legislations/7129</v>
      </c>
      <c r="H172" s="1" t="s">
        <v>18</v>
      </c>
      <c r="I172" s="1" t="s">
        <v>1286</v>
      </c>
      <c r="J172" s="1" t="s">
        <v>1287</v>
      </c>
      <c r="K172" s="5">
        <v>44875.0</v>
      </c>
      <c r="L172" s="5">
        <v>44875.0</v>
      </c>
      <c r="M172" s="5">
        <v>44882.0</v>
      </c>
      <c r="N172" s="1" t="s">
        <v>1288</v>
      </c>
    </row>
    <row r="173" hidden="1">
      <c r="A173" s="1" t="s">
        <v>221</v>
      </c>
      <c r="B173" s="1" t="s">
        <v>25</v>
      </c>
      <c r="C173" s="1" t="s">
        <v>1289</v>
      </c>
      <c r="D173" s="1" t="str">
        <f>Vlookup(C173,'Oil &amp; Gas Documents - Canada'!F:M,2,FALSE)</f>
        <v>#N/A</v>
      </c>
      <c r="E173" s="1" t="str">
        <f>Vlookup(C173,'Oil &amp; Gas Documents - Canada'!F:N,9,FALSE)</f>
        <v>#N/A</v>
      </c>
      <c r="F173" s="1" t="s">
        <v>1290</v>
      </c>
      <c r="G173" s="4" t="str">
        <f>HYPERLINK("http://nimonikapp.com/legislations/1455","http://nimonikapp.com/legislations/1455")</f>
        <v>http://nimonikapp.com/legislations/1455</v>
      </c>
      <c r="H173" s="1" t="s">
        <v>18</v>
      </c>
      <c r="I173" s="1" t="s">
        <v>1291</v>
      </c>
      <c r="J173" s="1" t="s">
        <v>1292</v>
      </c>
      <c r="K173" s="5">
        <v>44875.0</v>
      </c>
      <c r="L173" s="5">
        <v>44875.0</v>
      </c>
      <c r="M173" s="5">
        <v>44882.0</v>
      </c>
      <c r="N173" s="1" t="s">
        <v>1293</v>
      </c>
    </row>
    <row r="174">
      <c r="A174" s="1" t="s">
        <v>21</v>
      </c>
      <c r="B174" s="1" t="s">
        <v>25</v>
      </c>
      <c r="C174" s="1" t="s">
        <v>105</v>
      </c>
      <c r="D174" s="1" t="str">
        <f>Vlookup(C174,'Oil &amp; Gas Documents - Canada'!F:M,2,FALSE)</f>
        <v>general, oil_and_gas</v>
      </c>
      <c r="E174" s="1" t="str">
        <f>Vlookup(C174,'Oil &amp; Gas Documents - Canada'!F:N,9,FALSE)</f>
        <v/>
      </c>
      <c r="F174" s="1" t="s">
        <v>104</v>
      </c>
      <c r="G174" s="4" t="str">
        <f>HYPERLINK("http://nimonikapp.com/legislations/4208","http://nimonikapp.com/legislations/4208")</f>
        <v>http://nimonikapp.com/legislations/4208</v>
      </c>
      <c r="H174" s="1" t="s">
        <v>18</v>
      </c>
      <c r="I174" s="1" t="s">
        <v>107</v>
      </c>
      <c r="J174" s="1" t="s">
        <v>108</v>
      </c>
      <c r="K174" s="5">
        <v>44880.0</v>
      </c>
      <c r="L174" s="5">
        <v>44858.0</v>
      </c>
      <c r="M174" s="5">
        <v>44882.0</v>
      </c>
      <c r="N174" s="1" t="s">
        <v>106</v>
      </c>
    </row>
    <row r="175" hidden="1">
      <c r="A175" s="1" t="s">
        <v>21</v>
      </c>
      <c r="B175" s="1" t="s">
        <v>25</v>
      </c>
      <c r="C175" s="1" t="s">
        <v>1294</v>
      </c>
      <c r="D175" s="1" t="str">
        <f>Vlookup(C175,'Oil &amp; Gas Documents - Canada'!F:M,2,FALSE)</f>
        <v>#N/A</v>
      </c>
      <c r="E175" s="1" t="str">
        <f>Vlookup(C175,'Oil &amp; Gas Documents - Canada'!F:N,9,FALSE)</f>
        <v>#N/A</v>
      </c>
      <c r="F175" s="1" t="s">
        <v>1295</v>
      </c>
      <c r="G175" s="4" t="str">
        <f>HYPERLINK("http://nimonikapp.com/legislations/6409","http://nimonikapp.com/legislations/6409")</f>
        <v>http://nimonikapp.com/legislations/6409</v>
      </c>
      <c r="H175" s="1" t="s">
        <v>18</v>
      </c>
      <c r="I175" s="1" t="s">
        <v>107</v>
      </c>
      <c r="J175" s="1" t="s">
        <v>108</v>
      </c>
      <c r="K175" s="5">
        <v>44880.0</v>
      </c>
      <c r="L175" s="5">
        <v>44858.0</v>
      </c>
      <c r="M175" s="5">
        <v>44882.0</v>
      </c>
    </row>
    <row r="176">
      <c r="A176" s="1" t="s">
        <v>21</v>
      </c>
      <c r="B176" s="1" t="s">
        <v>25</v>
      </c>
      <c r="C176" s="1" t="s">
        <v>110</v>
      </c>
      <c r="D176" s="1" t="str">
        <f>Vlookup(C176,'Oil &amp; Gas Documents - Canada'!F:M,2,FALSE)</f>
        <v>oil_and_gas</v>
      </c>
      <c r="E176" s="1" t="str">
        <f>Vlookup(C176,'Oil &amp; Gas Documents - Canada'!F:N,9,FALSE)</f>
        <v/>
      </c>
      <c r="F176" s="1" t="s">
        <v>109</v>
      </c>
      <c r="G176" s="4" t="str">
        <f>HYPERLINK("http://nimonikapp.com/legislations/4038","http://nimonikapp.com/legislations/4038")</f>
        <v>http://nimonikapp.com/legislations/4038</v>
      </c>
      <c r="H176" s="1" t="s">
        <v>18</v>
      </c>
      <c r="I176" s="1" t="s">
        <v>107</v>
      </c>
      <c r="J176" s="1" t="s">
        <v>108</v>
      </c>
      <c r="K176" s="5">
        <v>44880.0</v>
      </c>
      <c r="L176" s="5">
        <v>44858.0</v>
      </c>
      <c r="M176" s="5">
        <v>44882.0</v>
      </c>
    </row>
    <row r="177">
      <c r="A177" s="1" t="s">
        <v>21</v>
      </c>
      <c r="B177" s="1" t="s">
        <v>25</v>
      </c>
      <c r="C177" s="1" t="s">
        <v>112</v>
      </c>
      <c r="D177" s="1" t="str">
        <f>Vlookup(C177,'Oil &amp; Gas Documents - Canada'!F:M,2,FALSE)</f>
        <v>general, oil_and_gas, mining_and_minerals_industry</v>
      </c>
      <c r="E177" s="1" t="str">
        <f>Vlookup(C177,'Oil &amp; Gas Documents - Canada'!F:N,9,FALSE)</f>
        <v/>
      </c>
      <c r="F177" s="1" t="s">
        <v>111</v>
      </c>
      <c r="G177" s="4" t="str">
        <f>HYPERLINK("http://nimonikapp.com/legislations/3994","http://nimonikapp.com/legislations/3994")</f>
        <v>http://nimonikapp.com/legislations/3994</v>
      </c>
      <c r="H177" s="1" t="s">
        <v>18</v>
      </c>
      <c r="I177" s="1" t="s">
        <v>107</v>
      </c>
      <c r="J177" s="1" t="s">
        <v>108</v>
      </c>
      <c r="K177" s="5">
        <v>44880.0</v>
      </c>
      <c r="L177" s="5">
        <v>44858.0</v>
      </c>
      <c r="M177" s="5">
        <v>44882.0</v>
      </c>
    </row>
    <row r="178" hidden="1">
      <c r="A178" s="1" t="s">
        <v>21</v>
      </c>
      <c r="B178" s="1" t="s">
        <v>25</v>
      </c>
      <c r="C178" s="1" t="s">
        <v>1296</v>
      </c>
      <c r="D178" s="1" t="str">
        <f>Vlookup(C178,'Oil &amp; Gas Documents - Canada'!F:M,2,FALSE)</f>
        <v>#N/A</v>
      </c>
      <c r="E178" s="1" t="str">
        <f>Vlookup(C178,'Oil &amp; Gas Documents - Canada'!F:N,9,FALSE)</f>
        <v>#N/A</v>
      </c>
      <c r="F178" s="1" t="s">
        <v>1297</v>
      </c>
      <c r="G178" s="4" t="str">
        <f>HYPERLINK("http://nimonikapp.com/legislations/6990","http://nimonikapp.com/legislations/6990")</f>
        <v>http://nimonikapp.com/legislations/6990</v>
      </c>
      <c r="H178" s="1" t="s">
        <v>18</v>
      </c>
      <c r="I178" s="1" t="s">
        <v>107</v>
      </c>
      <c r="J178" s="1" t="s">
        <v>108</v>
      </c>
      <c r="K178" s="5">
        <v>44880.0</v>
      </c>
      <c r="L178" s="5">
        <v>44858.0</v>
      </c>
      <c r="M178" s="5">
        <v>44882.0</v>
      </c>
      <c r="N178" s="1" t="s">
        <v>1298</v>
      </c>
    </row>
    <row r="179" hidden="1">
      <c r="A179" s="1" t="s">
        <v>21</v>
      </c>
      <c r="B179" s="1" t="s">
        <v>25</v>
      </c>
      <c r="C179" s="1" t="s">
        <v>1299</v>
      </c>
      <c r="D179" s="1" t="str">
        <f>Vlookup(C179,'Oil &amp; Gas Documents - Canada'!F:M,2,FALSE)</f>
        <v>#N/A</v>
      </c>
      <c r="E179" s="1" t="str">
        <f>Vlookup(C179,'Oil &amp; Gas Documents - Canada'!F:N,9,FALSE)</f>
        <v>#N/A</v>
      </c>
      <c r="F179" s="1" t="s">
        <v>1300</v>
      </c>
      <c r="G179" s="4" t="str">
        <f>HYPERLINK("http://nimonikapp.com/legislations/4027","http://nimonikapp.com/legislations/4027")</f>
        <v>http://nimonikapp.com/legislations/4027</v>
      </c>
      <c r="H179" s="1" t="s">
        <v>18</v>
      </c>
      <c r="I179" s="1" t="s">
        <v>107</v>
      </c>
      <c r="J179" s="1" t="s">
        <v>108</v>
      </c>
      <c r="K179" s="5">
        <v>44880.0</v>
      </c>
      <c r="L179" s="5">
        <v>44858.0</v>
      </c>
      <c r="M179" s="5">
        <v>44882.0</v>
      </c>
      <c r="N179" s="1" t="s">
        <v>1301</v>
      </c>
    </row>
    <row r="180" hidden="1">
      <c r="A180" s="1" t="s">
        <v>21</v>
      </c>
      <c r="B180" s="1" t="s">
        <v>25</v>
      </c>
      <c r="C180" s="1" t="s">
        <v>1302</v>
      </c>
      <c r="D180" s="1" t="str">
        <f>Vlookup(C180,'Oil &amp; Gas Documents - Canada'!F:M,2,FALSE)</f>
        <v>#N/A</v>
      </c>
      <c r="E180" s="1" t="str">
        <f>Vlookup(C180,'Oil &amp; Gas Documents - Canada'!F:N,9,FALSE)</f>
        <v>#N/A</v>
      </c>
      <c r="F180" s="1" t="s">
        <v>1303</v>
      </c>
      <c r="G180" s="4" t="str">
        <f>HYPERLINK("http://nimonikapp.com/legislations/6800","http://nimonikapp.com/legislations/6800")</f>
        <v>http://nimonikapp.com/legislations/6800</v>
      </c>
      <c r="H180" s="1" t="s">
        <v>18</v>
      </c>
      <c r="I180" s="1" t="s">
        <v>107</v>
      </c>
      <c r="J180" s="1" t="s">
        <v>108</v>
      </c>
      <c r="K180" s="5">
        <v>44880.0</v>
      </c>
      <c r="L180" s="5">
        <v>44858.0</v>
      </c>
      <c r="M180" s="5">
        <v>44882.0</v>
      </c>
      <c r="N180" s="1" t="s">
        <v>1304</v>
      </c>
    </row>
    <row r="181">
      <c r="A181" s="1" t="s">
        <v>21</v>
      </c>
      <c r="B181" s="1" t="s">
        <v>25</v>
      </c>
      <c r="C181" s="1" t="s">
        <v>114</v>
      </c>
      <c r="D181" s="1" t="str">
        <f>Vlookup(C181,'Oil &amp; Gas Documents - Canada'!F:M,2,FALSE)</f>
        <v>oil_and_gas</v>
      </c>
      <c r="E181" s="1" t="str">
        <f>Vlookup(C181,'Oil &amp; Gas Documents - Canada'!F:N,9,FALSE)</f>
        <v/>
      </c>
      <c r="F181" s="1" t="s">
        <v>113</v>
      </c>
      <c r="G181" s="4" t="str">
        <f>HYPERLINK("http://nimonikapp.com/legislations/3846","http://nimonikapp.com/legislations/3846")</f>
        <v>http://nimonikapp.com/legislations/3846</v>
      </c>
      <c r="H181" s="1" t="s">
        <v>18</v>
      </c>
      <c r="I181" s="1" t="s">
        <v>107</v>
      </c>
      <c r="J181" s="1" t="s">
        <v>108</v>
      </c>
      <c r="K181" s="5">
        <v>44880.0</v>
      </c>
      <c r="L181" s="5">
        <v>44858.0</v>
      </c>
      <c r="M181" s="5">
        <v>44882.0</v>
      </c>
      <c r="N181" s="1" t="s">
        <v>115</v>
      </c>
    </row>
    <row r="182">
      <c r="A182" s="1" t="s">
        <v>21</v>
      </c>
      <c r="B182" s="1" t="s">
        <v>25</v>
      </c>
      <c r="C182" s="1" t="s">
        <v>117</v>
      </c>
      <c r="D182" s="1" t="str">
        <f>Vlookup(C182,'Oil &amp; Gas Documents - Canada'!F:M,2,FALSE)</f>
        <v>oil_and_gas</v>
      </c>
      <c r="E182" s="1" t="str">
        <f>Vlookup(C182,'Oil &amp; Gas Documents - Canada'!F:N,9,FALSE)</f>
        <v/>
      </c>
      <c r="F182" s="1" t="s">
        <v>116</v>
      </c>
      <c r="G182" s="4" t="str">
        <f>HYPERLINK("http://nimonikapp.com/legislations/3688","http://nimonikapp.com/legislations/3688")</f>
        <v>http://nimonikapp.com/legislations/3688</v>
      </c>
      <c r="H182" s="1" t="s">
        <v>18</v>
      </c>
      <c r="I182" s="1" t="s">
        <v>107</v>
      </c>
      <c r="J182" s="1" t="s">
        <v>108</v>
      </c>
      <c r="K182" s="5">
        <v>44880.0</v>
      </c>
      <c r="L182" s="5">
        <v>44858.0</v>
      </c>
      <c r="M182" s="5">
        <v>44882.0</v>
      </c>
      <c r="N182" s="1" t="s">
        <v>118</v>
      </c>
    </row>
    <row r="183" hidden="1">
      <c r="A183" s="1" t="s">
        <v>21</v>
      </c>
      <c r="B183" s="1" t="s">
        <v>25</v>
      </c>
      <c r="C183" s="1" t="s">
        <v>1305</v>
      </c>
      <c r="D183" s="1" t="str">
        <f>Vlookup(C183,'Oil &amp; Gas Documents - Canada'!F:M,2,FALSE)</f>
        <v>#N/A</v>
      </c>
      <c r="E183" s="1" t="str">
        <f>Vlookup(C183,'Oil &amp; Gas Documents - Canada'!F:N,9,FALSE)</f>
        <v>#N/A</v>
      </c>
      <c r="F183" s="1" t="s">
        <v>1306</v>
      </c>
      <c r="G183" s="4" t="str">
        <f>HYPERLINK("http://nimonikapp.com/legislations/110774","http://nimonikapp.com/legislations/110774")</f>
        <v>http://nimonikapp.com/legislations/110774</v>
      </c>
      <c r="H183" s="1" t="s">
        <v>18</v>
      </c>
      <c r="I183" s="1" t="s">
        <v>107</v>
      </c>
      <c r="J183" s="1" t="s">
        <v>108</v>
      </c>
      <c r="K183" s="5">
        <v>44880.0</v>
      </c>
      <c r="L183" s="5">
        <v>44858.0</v>
      </c>
      <c r="M183" s="5">
        <v>44882.0</v>
      </c>
    </row>
    <row r="184" hidden="1">
      <c r="A184" s="1" t="s">
        <v>21</v>
      </c>
      <c r="B184" s="1" t="s">
        <v>25</v>
      </c>
      <c r="C184" s="1" t="s">
        <v>1307</v>
      </c>
      <c r="D184" s="1" t="str">
        <f>Vlookup(C184,'Oil &amp; Gas Documents - Canada'!F:M,2,FALSE)</f>
        <v>#N/A</v>
      </c>
      <c r="E184" s="1" t="str">
        <f>Vlookup(C184,'Oil &amp; Gas Documents - Canada'!F:N,9,FALSE)</f>
        <v>#N/A</v>
      </c>
      <c r="F184" s="1" t="s">
        <v>1308</v>
      </c>
      <c r="G184" s="4" t="str">
        <f>HYPERLINK("http://nimonikapp.com/legislations/353782","http://nimonikapp.com/legislations/353782")</f>
        <v>http://nimonikapp.com/legislations/353782</v>
      </c>
      <c r="H184" s="1" t="s">
        <v>18</v>
      </c>
      <c r="I184" s="1" t="s">
        <v>107</v>
      </c>
      <c r="J184" s="1" t="s">
        <v>108</v>
      </c>
      <c r="K184" s="5">
        <v>44880.0</v>
      </c>
      <c r="L184" s="5">
        <v>44858.0</v>
      </c>
      <c r="M184" s="5">
        <v>44882.0</v>
      </c>
    </row>
    <row r="185" hidden="1">
      <c r="A185" s="1" t="s">
        <v>21</v>
      </c>
      <c r="B185" s="1" t="s">
        <v>25</v>
      </c>
      <c r="C185" s="1" t="s">
        <v>1309</v>
      </c>
      <c r="D185" s="1" t="str">
        <f>Vlookup(C185,'Oil &amp; Gas Documents - Canada'!F:M,2,FALSE)</f>
        <v>#N/A</v>
      </c>
      <c r="E185" s="1" t="str">
        <f>Vlookup(C185,'Oil &amp; Gas Documents - Canada'!F:N,9,FALSE)</f>
        <v>#N/A</v>
      </c>
      <c r="F185" s="1" t="s">
        <v>1310</v>
      </c>
      <c r="G185" s="4" t="str">
        <f>HYPERLINK("http://nimonikapp.com/legislations/359225","http://nimonikapp.com/legislations/359225")</f>
        <v>http://nimonikapp.com/legislations/359225</v>
      </c>
      <c r="H185" s="1" t="s">
        <v>18</v>
      </c>
      <c r="I185" s="1" t="s">
        <v>107</v>
      </c>
      <c r="J185" s="1" t="s">
        <v>108</v>
      </c>
      <c r="K185" s="5">
        <v>44880.0</v>
      </c>
      <c r="L185" s="5">
        <v>44858.0</v>
      </c>
      <c r="M185" s="5">
        <v>44882.0</v>
      </c>
    </row>
    <row r="186">
      <c r="A186" s="1" t="s">
        <v>21</v>
      </c>
      <c r="B186" s="1" t="s">
        <v>25</v>
      </c>
      <c r="C186" s="1" t="s">
        <v>120</v>
      </c>
      <c r="D186" s="1" t="str">
        <f>Vlookup(C186,'Oil &amp; Gas Documents - Canada'!F:M,2,FALSE)</f>
        <v>general, oil_and_gas, mining_and_minerals_industry</v>
      </c>
      <c r="E186" s="1" t="str">
        <f>Vlookup(C186,'Oil &amp; Gas Documents - Canada'!F:N,9,FALSE)</f>
        <v/>
      </c>
      <c r="F186" s="1" t="s">
        <v>119</v>
      </c>
      <c r="G186" s="4" t="str">
        <f>HYPERLINK("http://nimonikapp.com/legislations/4060","http://nimonikapp.com/legislations/4060")</f>
        <v>http://nimonikapp.com/legislations/4060</v>
      </c>
      <c r="H186" s="1" t="s">
        <v>18</v>
      </c>
      <c r="I186" s="1" t="s">
        <v>107</v>
      </c>
      <c r="J186" s="1" t="s">
        <v>108</v>
      </c>
      <c r="K186" s="5">
        <v>44880.0</v>
      </c>
      <c r="L186" s="5">
        <v>44858.0</v>
      </c>
      <c r="M186" s="5">
        <v>44882.0</v>
      </c>
    </row>
    <row r="187" hidden="1">
      <c r="A187" s="1" t="s">
        <v>21</v>
      </c>
      <c r="B187" s="1" t="s">
        <v>25</v>
      </c>
      <c r="C187" s="1" t="s">
        <v>1311</v>
      </c>
      <c r="D187" s="1" t="str">
        <f>Vlookup(C187,'Oil &amp; Gas Documents - Canada'!F:M,2,FALSE)</f>
        <v>#N/A</v>
      </c>
      <c r="E187" s="1" t="str">
        <f>Vlookup(C187,'Oil &amp; Gas Documents - Canada'!F:N,9,FALSE)</f>
        <v>#N/A</v>
      </c>
      <c r="F187" s="1" t="s">
        <v>1312</v>
      </c>
      <c r="G187" s="4" t="str">
        <f>HYPERLINK("http://nimonikapp.com/legislations/6393","http://nimonikapp.com/legislations/6393")</f>
        <v>http://nimonikapp.com/legislations/6393</v>
      </c>
      <c r="H187" s="1" t="s">
        <v>18</v>
      </c>
      <c r="I187" s="1" t="s">
        <v>107</v>
      </c>
      <c r="J187" s="1" t="s">
        <v>108</v>
      </c>
      <c r="K187" s="5">
        <v>44880.0</v>
      </c>
      <c r="L187" s="5">
        <v>44858.0</v>
      </c>
      <c r="M187" s="5">
        <v>44882.0</v>
      </c>
      <c r="N187" s="1" t="s">
        <v>1313</v>
      </c>
    </row>
    <row r="188" hidden="1">
      <c r="A188" s="1" t="s">
        <v>21</v>
      </c>
      <c r="B188" s="1" t="s">
        <v>25</v>
      </c>
      <c r="C188" s="1" t="s">
        <v>1314</v>
      </c>
      <c r="D188" s="1" t="str">
        <f>Vlookup(C188,'Oil &amp; Gas Documents - Canada'!F:M,2,FALSE)</f>
        <v>#N/A</v>
      </c>
      <c r="E188" s="1" t="str">
        <f>Vlookup(C188,'Oil &amp; Gas Documents - Canada'!F:N,9,FALSE)</f>
        <v>#N/A</v>
      </c>
      <c r="F188" s="1" t="s">
        <v>1315</v>
      </c>
      <c r="G188" s="4" t="str">
        <f>HYPERLINK("http://nimonikapp.com/legislations/122997","http://nimonikapp.com/legislations/122997")</f>
        <v>http://nimonikapp.com/legislations/122997</v>
      </c>
      <c r="H188" s="1" t="s">
        <v>18</v>
      </c>
      <c r="I188" s="1" t="s">
        <v>107</v>
      </c>
      <c r="J188" s="1" t="s">
        <v>108</v>
      </c>
      <c r="K188" s="5">
        <v>44880.0</v>
      </c>
      <c r="L188" s="5">
        <v>44858.0</v>
      </c>
      <c r="M188" s="5">
        <v>44882.0</v>
      </c>
      <c r="N188" s="1" t="s">
        <v>1316</v>
      </c>
    </row>
    <row r="189" hidden="1">
      <c r="A189" s="1" t="s">
        <v>99</v>
      </c>
      <c r="B189" s="1" t="s">
        <v>25</v>
      </c>
      <c r="C189" s="1" t="s">
        <v>1317</v>
      </c>
      <c r="D189" s="1" t="str">
        <f>Vlookup(C189,'Oil &amp; Gas Documents - Canada'!F:M,2,FALSE)</f>
        <v>#N/A</v>
      </c>
      <c r="E189" s="1" t="str">
        <f>Vlookup(C189,'Oil &amp; Gas Documents - Canada'!F:N,9,FALSE)</f>
        <v>#N/A</v>
      </c>
      <c r="F189" s="1" t="s">
        <v>1318</v>
      </c>
      <c r="G189" s="4" t="str">
        <f>HYPERLINK("http://nimonikapp.com/legislations/372129","http://nimonikapp.com/legislations/372129")</f>
        <v>http://nimonikapp.com/legislations/372129</v>
      </c>
      <c r="H189" s="1" t="s">
        <v>18</v>
      </c>
      <c r="I189" s="1" t="s">
        <v>1319</v>
      </c>
      <c r="J189" s="1" t="s">
        <v>1320</v>
      </c>
      <c r="K189" s="5">
        <v>44874.0</v>
      </c>
      <c r="M189" s="5">
        <v>44882.0</v>
      </c>
      <c r="N189" s="1" t="s">
        <v>1321</v>
      </c>
    </row>
    <row r="190" hidden="1">
      <c r="A190" s="1" t="s">
        <v>99</v>
      </c>
      <c r="B190" s="1" t="s">
        <v>25</v>
      </c>
      <c r="C190" s="1" t="s">
        <v>1322</v>
      </c>
      <c r="D190" s="1" t="str">
        <f>Vlookup(C190,'Oil &amp; Gas Documents - Canada'!F:M,2,FALSE)</f>
        <v>#N/A</v>
      </c>
      <c r="E190" s="1" t="str">
        <f>Vlookup(C190,'Oil &amp; Gas Documents - Canada'!F:N,9,FALSE)</f>
        <v>#N/A</v>
      </c>
      <c r="F190" s="1" t="s">
        <v>1323</v>
      </c>
      <c r="G190" s="4" t="str">
        <f>HYPERLINK("http://nimonikapp.com/legislations/315","http://nimonikapp.com/legislations/315")</f>
        <v>http://nimonikapp.com/legislations/315</v>
      </c>
      <c r="H190" s="1" t="s">
        <v>18</v>
      </c>
      <c r="I190" s="1" t="s">
        <v>1324</v>
      </c>
      <c r="J190" s="1" t="s">
        <v>1325</v>
      </c>
      <c r="K190" s="5">
        <v>44874.0</v>
      </c>
      <c r="M190" s="5">
        <v>44882.0</v>
      </c>
      <c r="N190" s="1" t="s">
        <v>1326</v>
      </c>
    </row>
    <row r="191" hidden="1">
      <c r="A191" s="1" t="s">
        <v>99</v>
      </c>
      <c r="B191" s="1" t="s">
        <v>25</v>
      </c>
      <c r="C191" s="1" t="s">
        <v>1327</v>
      </c>
      <c r="D191" s="1" t="str">
        <f>Vlookup(C191,'Oil &amp; Gas Documents - Canada'!F:M,2,FALSE)</f>
        <v>#N/A</v>
      </c>
      <c r="E191" s="1" t="str">
        <f>Vlookup(C191,'Oil &amp; Gas Documents - Canada'!F:N,9,FALSE)</f>
        <v>#N/A</v>
      </c>
      <c r="F191" s="1" t="s">
        <v>1328</v>
      </c>
      <c r="G191" s="4" t="str">
        <f>HYPERLINK("http://nimonikapp.com/legislations/552","http://nimonikapp.com/legislations/552")</f>
        <v>http://nimonikapp.com/legislations/552</v>
      </c>
      <c r="H191" s="1" t="s">
        <v>18</v>
      </c>
      <c r="I191" s="1" t="s">
        <v>1329</v>
      </c>
      <c r="J191" s="1" t="s">
        <v>1330</v>
      </c>
      <c r="K191" s="5">
        <v>44874.0</v>
      </c>
      <c r="L191" s="5">
        <v>45019.0</v>
      </c>
      <c r="M191" s="5">
        <v>44882.0</v>
      </c>
    </row>
    <row r="192" hidden="1">
      <c r="A192" s="1" t="s">
        <v>99</v>
      </c>
      <c r="B192" s="1" t="s">
        <v>25</v>
      </c>
      <c r="C192" s="1" t="s">
        <v>1331</v>
      </c>
      <c r="D192" s="1" t="str">
        <f>Vlookup(C192,'Oil &amp; Gas Documents - Canada'!F:M,2,FALSE)</f>
        <v>#N/A</v>
      </c>
      <c r="E192" s="1" t="str">
        <f>Vlookup(C192,'Oil &amp; Gas Documents - Canada'!F:N,9,FALSE)</f>
        <v>#N/A</v>
      </c>
      <c r="F192" s="1" t="s">
        <v>1332</v>
      </c>
      <c r="G192" s="4" t="str">
        <f t="shared" ref="G192:G193" si="4">HYPERLINK("http://nimonikapp.com/legislations/115157","http://nimonikapp.com/legislations/115157")</f>
        <v>http://nimonikapp.com/legislations/115157</v>
      </c>
      <c r="H192" s="1" t="s">
        <v>18</v>
      </c>
      <c r="I192" s="1" t="s">
        <v>1333</v>
      </c>
      <c r="J192" s="1" t="s">
        <v>1334</v>
      </c>
      <c r="K192" s="5">
        <v>44874.0</v>
      </c>
      <c r="L192" s="5">
        <v>43466.0</v>
      </c>
      <c r="M192" s="5">
        <v>44882.0</v>
      </c>
      <c r="N192" s="1" t="s">
        <v>1335</v>
      </c>
    </row>
    <row r="193" hidden="1">
      <c r="A193" s="1" t="s">
        <v>99</v>
      </c>
      <c r="B193" s="1" t="s">
        <v>25</v>
      </c>
      <c r="C193" s="1" t="s">
        <v>1331</v>
      </c>
      <c r="D193" s="1" t="str">
        <f>Vlookup(C193,'Oil &amp; Gas Documents - Canada'!F:M,2,FALSE)</f>
        <v>#N/A</v>
      </c>
      <c r="E193" s="1" t="str">
        <f>Vlookup(C193,'Oil &amp; Gas Documents - Canada'!F:N,9,FALSE)</f>
        <v>#N/A</v>
      </c>
      <c r="F193" s="1" t="s">
        <v>1332</v>
      </c>
      <c r="G193" s="4" t="str">
        <f t="shared" si="4"/>
        <v>http://nimonikapp.com/legislations/115157</v>
      </c>
      <c r="H193" s="1" t="s">
        <v>18</v>
      </c>
      <c r="I193" s="1" t="s">
        <v>1336</v>
      </c>
      <c r="J193" s="1" t="s">
        <v>1337</v>
      </c>
      <c r="K193" s="5">
        <v>44874.0</v>
      </c>
      <c r="L193" s="5">
        <v>44874.0</v>
      </c>
      <c r="M193" s="5">
        <v>44882.0</v>
      </c>
      <c r="N193" s="1" t="s">
        <v>1335</v>
      </c>
    </row>
    <row r="194" hidden="1">
      <c r="A194" s="1" t="s">
        <v>99</v>
      </c>
      <c r="B194" s="1" t="s">
        <v>25</v>
      </c>
      <c r="C194" s="1" t="s">
        <v>1338</v>
      </c>
      <c r="D194" s="1" t="str">
        <f>Vlookup(C194,'Oil &amp; Gas Documents - Canada'!F:M,2,FALSE)</f>
        <v>#N/A</v>
      </c>
      <c r="E194" s="1" t="str">
        <f>Vlookup(C194,'Oil &amp; Gas Documents - Canada'!F:N,9,FALSE)</f>
        <v>#N/A</v>
      </c>
      <c r="F194" s="1" t="s">
        <v>1339</v>
      </c>
      <c r="G194" s="4" t="str">
        <f>HYPERLINK("http://nimonikapp.com/legislations/372145","http://nimonikapp.com/legislations/372145")</f>
        <v>http://nimonikapp.com/legislations/372145</v>
      </c>
      <c r="H194" s="1" t="s">
        <v>18</v>
      </c>
      <c r="I194" s="1" t="s">
        <v>1340</v>
      </c>
      <c r="J194" s="1" t="s">
        <v>1341</v>
      </c>
      <c r="K194" s="5">
        <v>44874.0</v>
      </c>
      <c r="L194" s="5">
        <v>44874.0</v>
      </c>
      <c r="M194" s="5">
        <v>44882.0</v>
      </c>
      <c r="N194" s="1" t="s">
        <v>1342</v>
      </c>
    </row>
    <row r="195" hidden="1">
      <c r="A195" s="1" t="s">
        <v>99</v>
      </c>
      <c r="B195" s="1" t="s">
        <v>25</v>
      </c>
      <c r="C195" s="1" t="s">
        <v>1343</v>
      </c>
      <c r="D195" s="1" t="str">
        <f>Vlookup(C195,'Oil &amp; Gas Documents - Canada'!F:M,2,FALSE)</f>
        <v>#N/A</v>
      </c>
      <c r="E195" s="1" t="str">
        <f>Vlookup(C195,'Oil &amp; Gas Documents - Canada'!F:N,9,FALSE)</f>
        <v>#N/A</v>
      </c>
      <c r="F195" s="1" t="s">
        <v>1344</v>
      </c>
      <c r="G195" s="4" t="str">
        <f>HYPERLINK("http://nimonikapp.com/legislations/367496","http://nimonikapp.com/legislations/367496")</f>
        <v>http://nimonikapp.com/legislations/367496</v>
      </c>
      <c r="H195" s="1" t="s">
        <v>18</v>
      </c>
      <c r="I195" s="1" t="s">
        <v>1345</v>
      </c>
      <c r="J195" s="1" t="s">
        <v>1346</v>
      </c>
      <c r="K195" s="5">
        <v>44874.0</v>
      </c>
      <c r="M195" s="5">
        <v>44882.0</v>
      </c>
      <c r="N195" s="1" t="s">
        <v>1347</v>
      </c>
    </row>
    <row r="196" hidden="1">
      <c r="A196" s="1" t="s">
        <v>99</v>
      </c>
      <c r="B196" s="1" t="s">
        <v>25</v>
      </c>
      <c r="C196" s="1" t="s">
        <v>1348</v>
      </c>
      <c r="D196" s="1" t="str">
        <f>Vlookup(C196,'Oil &amp; Gas Documents - Canada'!F:M,2,FALSE)</f>
        <v>#N/A</v>
      </c>
      <c r="E196" s="1" t="str">
        <f>Vlookup(C196,'Oil &amp; Gas Documents - Canada'!F:N,9,FALSE)</f>
        <v>#N/A</v>
      </c>
      <c r="F196" s="1" t="s">
        <v>1349</v>
      </c>
      <c r="G196" s="4" t="str">
        <f>HYPERLINK("http://nimonikapp.com/legislations/1572","http://nimonikapp.com/legislations/1572")</f>
        <v>http://nimonikapp.com/legislations/1572</v>
      </c>
      <c r="H196" s="1" t="s">
        <v>18</v>
      </c>
      <c r="I196" s="1" t="s">
        <v>124</v>
      </c>
      <c r="J196" s="1" t="s">
        <v>125</v>
      </c>
      <c r="K196" s="5">
        <v>44874.0</v>
      </c>
      <c r="L196" s="5">
        <v>45170.0</v>
      </c>
      <c r="M196" s="5">
        <v>44882.0</v>
      </c>
      <c r="N196" s="1" t="s">
        <v>1350</v>
      </c>
    </row>
    <row r="197" hidden="1">
      <c r="A197" s="1" t="s">
        <v>99</v>
      </c>
      <c r="B197" s="1" t="s">
        <v>25</v>
      </c>
      <c r="C197" s="1" t="s">
        <v>1351</v>
      </c>
      <c r="D197" s="1" t="str">
        <f>Vlookup(C197,'Oil &amp; Gas Documents - Canada'!F:M,2,FALSE)</f>
        <v>#N/A</v>
      </c>
      <c r="E197" s="1" t="str">
        <f>Vlookup(C197,'Oil &amp; Gas Documents - Canada'!F:N,9,FALSE)</f>
        <v>#N/A</v>
      </c>
      <c r="F197" s="1" t="s">
        <v>1352</v>
      </c>
      <c r="G197" s="4" t="str">
        <f>HYPERLINK("http://nimonikapp.com/legislations/1575","http://nimonikapp.com/legislations/1575")</f>
        <v>http://nimonikapp.com/legislations/1575</v>
      </c>
      <c r="H197" s="1" t="s">
        <v>18</v>
      </c>
      <c r="I197" s="1" t="s">
        <v>124</v>
      </c>
      <c r="J197" s="1" t="s">
        <v>125</v>
      </c>
      <c r="K197" s="5">
        <v>44874.0</v>
      </c>
      <c r="L197" s="5">
        <v>45170.0</v>
      </c>
      <c r="M197" s="5">
        <v>44882.0</v>
      </c>
      <c r="N197" s="1" t="s">
        <v>1350</v>
      </c>
    </row>
    <row r="198" hidden="1">
      <c r="A198" s="1" t="s">
        <v>99</v>
      </c>
      <c r="B198" s="1" t="s">
        <v>25</v>
      </c>
      <c r="C198" s="1" t="s">
        <v>1353</v>
      </c>
      <c r="D198" s="1" t="str">
        <f>Vlookup(C198,'Oil &amp; Gas Documents - Canada'!F:M,2,FALSE)</f>
        <v>#N/A</v>
      </c>
      <c r="E198" s="1" t="str">
        <f>Vlookup(C198,'Oil &amp; Gas Documents - Canada'!F:N,9,FALSE)</f>
        <v>#N/A</v>
      </c>
      <c r="F198" s="1" t="s">
        <v>1354</v>
      </c>
      <c r="G198" s="4" t="str">
        <f>HYPERLINK("http://nimonikapp.com/legislations/311","http://nimonikapp.com/legislations/311")</f>
        <v>http://nimonikapp.com/legislations/311</v>
      </c>
      <c r="H198" s="1" t="s">
        <v>18</v>
      </c>
      <c r="I198" s="1" t="s">
        <v>124</v>
      </c>
      <c r="J198" s="1" t="s">
        <v>125</v>
      </c>
      <c r="K198" s="5">
        <v>44874.0</v>
      </c>
      <c r="L198" s="5">
        <v>45170.0</v>
      </c>
      <c r="M198" s="5">
        <v>44882.0</v>
      </c>
      <c r="N198" s="1" t="s">
        <v>1350</v>
      </c>
    </row>
    <row r="199" hidden="1">
      <c r="A199" s="1" t="s">
        <v>99</v>
      </c>
      <c r="B199" s="1" t="s">
        <v>25</v>
      </c>
      <c r="C199" s="1" t="s">
        <v>1355</v>
      </c>
      <c r="D199" s="1" t="str">
        <f>Vlookup(C199,'Oil &amp; Gas Documents - Canada'!F:M,2,FALSE)</f>
        <v>#N/A</v>
      </c>
      <c r="E199" s="1" t="str">
        <f>Vlookup(C199,'Oil &amp; Gas Documents - Canada'!F:N,9,FALSE)</f>
        <v>#N/A</v>
      </c>
      <c r="F199" s="1" t="s">
        <v>1356</v>
      </c>
      <c r="G199" s="4" t="str">
        <f>HYPERLINK("http://nimonikapp.com/legislations/118512","http://nimonikapp.com/legislations/118512")</f>
        <v>http://nimonikapp.com/legislations/118512</v>
      </c>
      <c r="H199" s="1" t="s">
        <v>18</v>
      </c>
      <c r="I199" s="1" t="s">
        <v>124</v>
      </c>
      <c r="J199" s="1" t="s">
        <v>125</v>
      </c>
      <c r="K199" s="5">
        <v>44874.0</v>
      </c>
      <c r="L199" s="5">
        <v>45170.0</v>
      </c>
      <c r="M199" s="5">
        <v>44882.0</v>
      </c>
      <c r="N199" s="1" t="s">
        <v>1350</v>
      </c>
    </row>
    <row r="200" hidden="1">
      <c r="A200" s="1" t="s">
        <v>99</v>
      </c>
      <c r="B200" s="1" t="s">
        <v>25</v>
      </c>
      <c r="C200" s="1" t="s">
        <v>1357</v>
      </c>
      <c r="D200" s="1" t="str">
        <f>Vlookup(C200,'Oil &amp; Gas Documents - Canada'!F:M,2,FALSE)</f>
        <v>#N/A</v>
      </c>
      <c r="E200" s="1" t="str">
        <f>Vlookup(C200,'Oil &amp; Gas Documents - Canada'!F:N,9,FALSE)</f>
        <v>#N/A</v>
      </c>
      <c r="F200" s="1" t="s">
        <v>1358</v>
      </c>
      <c r="G200" s="4" t="str">
        <f>HYPERLINK("http://nimonikapp.com/legislations/326","http://nimonikapp.com/legislations/326")</f>
        <v>http://nimonikapp.com/legislations/326</v>
      </c>
      <c r="H200" s="1" t="s">
        <v>18</v>
      </c>
      <c r="I200" s="1" t="s">
        <v>124</v>
      </c>
      <c r="J200" s="1" t="s">
        <v>125</v>
      </c>
      <c r="K200" s="5">
        <v>44874.0</v>
      </c>
      <c r="L200" s="5">
        <v>45170.0</v>
      </c>
      <c r="M200" s="5">
        <v>44882.0</v>
      </c>
      <c r="N200" s="1" t="s">
        <v>1350</v>
      </c>
    </row>
    <row r="201" hidden="1">
      <c r="A201" s="1" t="s">
        <v>99</v>
      </c>
      <c r="B201" s="1" t="s">
        <v>364</v>
      </c>
      <c r="C201" s="1" t="s">
        <v>1194</v>
      </c>
      <c r="D201" s="1" t="str">
        <f>Vlookup(C201,'Oil &amp; Gas Documents - Canada'!F:M,2,FALSE)</f>
        <v>#N/A</v>
      </c>
      <c r="E201" s="1" t="str">
        <f>Vlookup(C201,'Oil &amp; Gas Documents - Canada'!F:N,9,FALSE)</f>
        <v>#N/A</v>
      </c>
      <c r="F201" s="1" t="s">
        <v>1195</v>
      </c>
      <c r="G201" s="4" t="str">
        <f>HYPERLINK("http://nimonikapp.com/legislations/442","http://nimonikapp.com/legislations/442")</f>
        <v>http://nimonikapp.com/legislations/442</v>
      </c>
      <c r="H201" s="1" t="s">
        <v>18</v>
      </c>
      <c r="I201" s="1" t="s">
        <v>124</v>
      </c>
      <c r="J201" s="1" t="s">
        <v>125</v>
      </c>
      <c r="K201" s="5">
        <v>44874.0</v>
      </c>
      <c r="L201" s="5">
        <v>45170.0</v>
      </c>
      <c r="M201" s="5">
        <v>44882.0</v>
      </c>
      <c r="N201" s="1" t="s">
        <v>1198</v>
      </c>
    </row>
    <row r="202" hidden="1">
      <c r="A202" s="1" t="s">
        <v>99</v>
      </c>
      <c r="B202" s="1" t="s">
        <v>25</v>
      </c>
      <c r="C202" s="1" t="s">
        <v>1238</v>
      </c>
      <c r="D202" s="1" t="str">
        <f>Vlookup(C202,'Oil &amp; Gas Documents - Canada'!F:M,2,FALSE)</f>
        <v>#N/A</v>
      </c>
      <c r="E202" s="1" t="str">
        <f>Vlookup(C202,'Oil &amp; Gas Documents - Canada'!F:N,9,FALSE)</f>
        <v>#N/A</v>
      </c>
      <c r="F202" s="1" t="s">
        <v>1239</v>
      </c>
      <c r="G202" s="4" t="str">
        <f>HYPERLINK("http://nimonikapp.com/legislations/372180","http://nimonikapp.com/legislations/372180")</f>
        <v>http://nimonikapp.com/legislations/372180</v>
      </c>
      <c r="H202" s="1" t="s">
        <v>18</v>
      </c>
      <c r="I202" s="1" t="s">
        <v>124</v>
      </c>
      <c r="J202" s="1" t="s">
        <v>125</v>
      </c>
      <c r="K202" s="5">
        <v>44874.0</v>
      </c>
      <c r="L202" s="5">
        <v>45170.0</v>
      </c>
      <c r="M202" s="5">
        <v>44882.0</v>
      </c>
      <c r="N202" s="1" t="s">
        <v>123</v>
      </c>
    </row>
    <row r="203">
      <c r="A203" s="1" t="s">
        <v>99</v>
      </c>
      <c r="B203" s="1" t="s">
        <v>25</v>
      </c>
      <c r="C203" s="1" t="s">
        <v>122</v>
      </c>
      <c r="D203" s="1" t="s">
        <v>26</v>
      </c>
      <c r="E203" s="1" t="str">
        <f>Vlookup(C203,'Oil &amp; Gas Documents - Canada'!F:N,9,FALSE)</f>
        <v>#N/A</v>
      </c>
      <c r="F203" s="1" t="s">
        <v>121</v>
      </c>
      <c r="G203" s="4" t="str">
        <f>HYPERLINK("http://nimonikapp.com/legislations/378062","http://nimonikapp.com/legislations/378062")</f>
        <v>http://nimonikapp.com/legislations/378062</v>
      </c>
      <c r="H203" s="1" t="s">
        <v>18</v>
      </c>
      <c r="I203" s="1" t="s">
        <v>124</v>
      </c>
      <c r="J203" s="1" t="s">
        <v>125</v>
      </c>
      <c r="K203" s="5">
        <v>44874.0</v>
      </c>
      <c r="L203" s="5">
        <v>45170.0</v>
      </c>
      <c r="M203" s="5">
        <v>44882.0</v>
      </c>
      <c r="N203" s="1" t="s">
        <v>123</v>
      </c>
    </row>
    <row r="204" hidden="1">
      <c r="A204" s="1" t="s">
        <v>99</v>
      </c>
      <c r="B204" s="1" t="s">
        <v>25</v>
      </c>
      <c r="C204" s="1" t="s">
        <v>1359</v>
      </c>
      <c r="D204" s="1" t="str">
        <f>Vlookup(C204,'Oil &amp; Gas Documents - Canada'!F:M,2,FALSE)</f>
        <v>#N/A</v>
      </c>
      <c r="E204" s="1" t="str">
        <f>Vlookup(C204,'Oil &amp; Gas Documents - Canada'!F:N,9,FALSE)</f>
        <v>#N/A</v>
      </c>
      <c r="F204" s="1" t="s">
        <v>1360</v>
      </c>
      <c r="G204" s="4" t="str">
        <f>HYPERLINK("http://nimonikapp.com/legislations/372109","http://nimonikapp.com/legislations/372109")</f>
        <v>http://nimonikapp.com/legislations/372109</v>
      </c>
      <c r="H204" s="1" t="s">
        <v>18</v>
      </c>
      <c r="I204" s="1" t="s">
        <v>124</v>
      </c>
      <c r="J204" s="1" t="s">
        <v>125</v>
      </c>
      <c r="K204" s="5">
        <v>44874.0</v>
      </c>
      <c r="L204" s="5">
        <v>45170.0</v>
      </c>
      <c r="M204" s="5">
        <v>44882.0</v>
      </c>
      <c r="N204" s="1" t="s">
        <v>123</v>
      </c>
    </row>
    <row r="205" hidden="1">
      <c r="A205" s="1" t="s">
        <v>99</v>
      </c>
      <c r="B205" s="1" t="s">
        <v>25</v>
      </c>
      <c r="C205" s="1" t="s">
        <v>1361</v>
      </c>
      <c r="D205" s="1" t="str">
        <f>Vlookup(C205,'Oil &amp; Gas Documents - Canada'!F:M,2,FALSE)</f>
        <v>#N/A</v>
      </c>
      <c r="E205" s="1" t="str">
        <f>Vlookup(C205,'Oil &amp; Gas Documents - Canada'!F:N,9,FALSE)</f>
        <v>#N/A</v>
      </c>
      <c r="F205" s="1" t="s">
        <v>1362</v>
      </c>
      <c r="G205" s="4" t="str">
        <f>HYPERLINK("http://nimonikapp.com/legislations/378051","http://nimonikapp.com/legislations/378051")</f>
        <v>http://nimonikapp.com/legislations/378051</v>
      </c>
      <c r="H205" s="1" t="s">
        <v>18</v>
      </c>
      <c r="I205" s="1" t="s">
        <v>124</v>
      </c>
      <c r="J205" s="1" t="s">
        <v>125</v>
      </c>
      <c r="K205" s="5">
        <v>44874.0</v>
      </c>
      <c r="L205" s="5">
        <v>45170.0</v>
      </c>
      <c r="M205" s="5">
        <v>44882.0</v>
      </c>
      <c r="N205" s="1" t="s">
        <v>123</v>
      </c>
    </row>
    <row r="206" hidden="1">
      <c r="A206" s="1" t="s">
        <v>99</v>
      </c>
      <c r="B206" s="1" t="s">
        <v>25</v>
      </c>
      <c r="C206" s="1" t="s">
        <v>1363</v>
      </c>
      <c r="D206" s="1" t="str">
        <f>Vlookup(C206,'Oil &amp; Gas Documents - Canada'!F:M,2,FALSE)</f>
        <v>#N/A</v>
      </c>
      <c r="E206" s="1" t="str">
        <f>Vlookup(C206,'Oil &amp; Gas Documents - Canada'!F:N,9,FALSE)</f>
        <v>#N/A</v>
      </c>
      <c r="F206" s="1" t="s">
        <v>1364</v>
      </c>
      <c r="G206" s="4" t="str">
        <f>HYPERLINK("http://nimonikapp.com/legislations/367489","http://nimonikapp.com/legislations/367489")</f>
        <v>http://nimonikapp.com/legislations/367489</v>
      </c>
      <c r="H206" s="1" t="s">
        <v>18</v>
      </c>
      <c r="I206" s="1" t="s">
        <v>124</v>
      </c>
      <c r="J206" s="1" t="s">
        <v>125</v>
      </c>
      <c r="K206" s="5">
        <v>44874.0</v>
      </c>
      <c r="L206" s="5">
        <v>45170.0</v>
      </c>
      <c r="M206" s="5">
        <v>44882.0</v>
      </c>
      <c r="N206" s="1" t="s">
        <v>123</v>
      </c>
    </row>
    <row r="207" hidden="1">
      <c r="A207" s="1" t="s">
        <v>99</v>
      </c>
      <c r="B207" s="1" t="s">
        <v>25</v>
      </c>
      <c r="C207" s="1" t="s">
        <v>1217</v>
      </c>
      <c r="D207" s="1" t="str">
        <f>Vlookup(C207,'Oil &amp; Gas Documents - Canada'!F:M,2,FALSE)</f>
        <v>#N/A</v>
      </c>
      <c r="E207" s="1" t="str">
        <f>Vlookup(C207,'Oil &amp; Gas Documents - Canada'!F:N,9,FALSE)</f>
        <v>#N/A</v>
      </c>
      <c r="F207" s="1" t="s">
        <v>1218</v>
      </c>
      <c r="G207" s="4" t="str">
        <f>HYPERLINK("http://nimonikapp.com/legislations/367482","http://nimonikapp.com/legislations/367482")</f>
        <v>http://nimonikapp.com/legislations/367482</v>
      </c>
      <c r="H207" s="1" t="s">
        <v>18</v>
      </c>
      <c r="I207" s="1" t="s">
        <v>124</v>
      </c>
      <c r="J207" s="1" t="s">
        <v>125</v>
      </c>
      <c r="K207" s="5">
        <v>44874.0</v>
      </c>
      <c r="L207" s="5">
        <v>45170.0</v>
      </c>
      <c r="M207" s="5">
        <v>44882.0</v>
      </c>
      <c r="N207" s="1" t="s">
        <v>1203</v>
      </c>
    </row>
    <row r="208" hidden="1">
      <c r="A208" s="1" t="s">
        <v>221</v>
      </c>
      <c r="B208" s="1" t="s">
        <v>25</v>
      </c>
      <c r="C208" s="1" t="s">
        <v>1365</v>
      </c>
      <c r="D208" s="1" t="str">
        <f>Vlookup(C208,'Oil &amp; Gas Documents - Canada'!F:M,2,FALSE)</f>
        <v>#N/A</v>
      </c>
      <c r="E208" s="1" t="str">
        <f>Vlookup(C208,'Oil &amp; Gas Documents - Canada'!F:N,9,FALSE)</f>
        <v>#N/A</v>
      </c>
      <c r="F208" s="1" t="s">
        <v>1366</v>
      </c>
      <c r="G208" s="4" t="str">
        <f>HYPERLINK("http://nimonikapp.com/legislations/117886","http://nimonikapp.com/legislations/117886")</f>
        <v>http://nimonikapp.com/legislations/117886</v>
      </c>
      <c r="H208" s="1" t="s">
        <v>18</v>
      </c>
      <c r="I208" s="1" t="s">
        <v>1367</v>
      </c>
      <c r="J208" s="1" t="s">
        <v>1368</v>
      </c>
      <c r="K208" s="5">
        <v>44868.0</v>
      </c>
      <c r="L208" s="5">
        <v>44868.0</v>
      </c>
      <c r="M208" s="5">
        <v>44881.0</v>
      </c>
      <c r="N208" s="1" t="s">
        <v>1369</v>
      </c>
    </row>
    <row r="209" hidden="1">
      <c r="A209" s="1" t="s">
        <v>221</v>
      </c>
      <c r="B209" s="1" t="s">
        <v>25</v>
      </c>
      <c r="C209" s="1" t="s">
        <v>1370</v>
      </c>
      <c r="D209" s="1" t="str">
        <f>Vlookup(C209,'Oil &amp; Gas Documents - Canada'!F:M,2,FALSE)</f>
        <v>#N/A</v>
      </c>
      <c r="E209" s="1" t="str">
        <f>Vlookup(C209,'Oil &amp; Gas Documents - Canada'!F:N,9,FALSE)</f>
        <v>#N/A</v>
      </c>
      <c r="F209" s="1" t="s">
        <v>1371</v>
      </c>
      <c r="G209" s="4" t="str">
        <f>HYPERLINK("http://nimonikapp.com/legislations/249","http://nimonikapp.com/legislations/249")</f>
        <v>http://nimonikapp.com/legislations/249</v>
      </c>
      <c r="H209" s="1" t="s">
        <v>18</v>
      </c>
      <c r="I209" s="1" t="s">
        <v>1372</v>
      </c>
      <c r="J209" s="1" t="s">
        <v>1373</v>
      </c>
      <c r="K209" s="5">
        <v>44868.0</v>
      </c>
      <c r="M209" s="5">
        <v>44881.0</v>
      </c>
    </row>
    <row r="210" hidden="1">
      <c r="A210" s="1" t="s">
        <v>221</v>
      </c>
      <c r="B210" s="1" t="s">
        <v>25</v>
      </c>
      <c r="C210" s="1" t="s">
        <v>1374</v>
      </c>
      <c r="D210" s="1" t="str">
        <f>Vlookup(C210,'Oil &amp; Gas Documents - Canada'!F:M,2,FALSE)</f>
        <v>#N/A</v>
      </c>
      <c r="E210" s="1" t="str">
        <f>Vlookup(C210,'Oil &amp; Gas Documents - Canada'!F:N,9,FALSE)</f>
        <v>#N/A</v>
      </c>
      <c r="F210" s="1" t="s">
        <v>1375</v>
      </c>
      <c r="G210" s="4" t="str">
        <f t="shared" ref="G210:G211" si="5">HYPERLINK("http://nimonikapp.com/legislations/14929","http://nimonikapp.com/legislations/14929")</f>
        <v>http://nimonikapp.com/legislations/14929</v>
      </c>
      <c r="H210" s="1" t="s">
        <v>18</v>
      </c>
      <c r="I210" s="1" t="s">
        <v>1376</v>
      </c>
      <c r="J210" s="1" t="s">
        <v>1377</v>
      </c>
      <c r="K210" s="5">
        <v>44868.0</v>
      </c>
      <c r="L210" s="5">
        <v>36526.0</v>
      </c>
      <c r="M210" s="5">
        <v>44881.0</v>
      </c>
      <c r="N210" s="1" t="s">
        <v>1378</v>
      </c>
    </row>
    <row r="211" hidden="1">
      <c r="A211" s="1" t="s">
        <v>221</v>
      </c>
      <c r="B211" s="1" t="s">
        <v>25</v>
      </c>
      <c r="C211" s="1" t="s">
        <v>1374</v>
      </c>
      <c r="D211" s="1" t="str">
        <f>Vlookup(C211,'Oil &amp; Gas Documents - Canada'!F:M,2,FALSE)</f>
        <v>#N/A</v>
      </c>
      <c r="E211" s="1" t="str">
        <f>Vlookup(C211,'Oil &amp; Gas Documents - Canada'!F:N,9,FALSE)</f>
        <v>#N/A</v>
      </c>
      <c r="F211" s="1" t="s">
        <v>1375</v>
      </c>
      <c r="G211" s="4" t="str">
        <f t="shared" si="5"/>
        <v>http://nimonikapp.com/legislations/14929</v>
      </c>
      <c r="H211" s="1" t="s">
        <v>18</v>
      </c>
      <c r="I211" s="1" t="s">
        <v>1379</v>
      </c>
      <c r="J211" s="1" t="s">
        <v>1380</v>
      </c>
      <c r="K211" s="5">
        <v>44868.0</v>
      </c>
      <c r="L211" s="5">
        <v>44868.0</v>
      </c>
      <c r="M211" s="5">
        <v>44881.0</v>
      </c>
      <c r="N211" s="1" t="s">
        <v>1378</v>
      </c>
    </row>
    <row r="212" hidden="1">
      <c r="A212" s="1" t="s">
        <v>221</v>
      </c>
      <c r="B212" s="1" t="s">
        <v>25</v>
      </c>
      <c r="C212" s="1" t="s">
        <v>1381</v>
      </c>
      <c r="D212" s="1" t="str">
        <f>Vlookup(C212,'Oil &amp; Gas Documents - Canada'!F:M,2,FALSE)</f>
        <v>#N/A</v>
      </c>
      <c r="E212" s="1" t="str">
        <f>Vlookup(C212,'Oil &amp; Gas Documents - Canada'!F:N,9,FALSE)</f>
        <v>#N/A</v>
      </c>
      <c r="F212" s="1" t="s">
        <v>1382</v>
      </c>
      <c r="G212" s="4" t="str">
        <f>HYPERLINK("http://nimonikapp.com/legislations/14921","http://nimonikapp.com/legislations/14921")</f>
        <v>http://nimonikapp.com/legislations/14921</v>
      </c>
      <c r="H212" s="1" t="s">
        <v>18</v>
      </c>
      <c r="I212" s="1" t="s">
        <v>1383</v>
      </c>
      <c r="J212" s="1" t="s">
        <v>1384</v>
      </c>
      <c r="K212" s="5">
        <v>44868.0</v>
      </c>
      <c r="M212" s="5">
        <v>44881.0</v>
      </c>
      <c r="N212" s="1" t="s">
        <v>1385</v>
      </c>
    </row>
    <row r="213" hidden="1">
      <c r="A213" s="1" t="s">
        <v>221</v>
      </c>
      <c r="B213" s="1" t="s">
        <v>25</v>
      </c>
      <c r="C213" s="1" t="s">
        <v>1386</v>
      </c>
      <c r="D213" s="1" t="str">
        <f>Vlookup(C213,'Oil &amp; Gas Documents - Canada'!F:M,2,FALSE)</f>
        <v>#N/A</v>
      </c>
      <c r="E213" s="1" t="str">
        <f>Vlookup(C213,'Oil &amp; Gas Documents - Canada'!F:N,9,FALSE)</f>
        <v>#N/A</v>
      </c>
      <c r="F213" s="1" t="s">
        <v>1387</v>
      </c>
      <c r="G213" s="4" t="str">
        <f>HYPERLINK("http://nimonikapp.com/legislations/794","http://nimonikapp.com/legislations/794")</f>
        <v>http://nimonikapp.com/legislations/794</v>
      </c>
      <c r="H213" s="1" t="s">
        <v>18</v>
      </c>
      <c r="I213" s="1" t="s">
        <v>1383</v>
      </c>
      <c r="J213" s="1" t="s">
        <v>1384</v>
      </c>
      <c r="K213" s="5">
        <v>44868.0</v>
      </c>
      <c r="M213" s="5">
        <v>44881.0</v>
      </c>
    </row>
    <row r="214" hidden="1">
      <c r="A214" s="1" t="s">
        <v>221</v>
      </c>
      <c r="B214" s="1" t="s">
        <v>25</v>
      </c>
      <c r="C214" s="1" t="s">
        <v>1388</v>
      </c>
      <c r="D214" s="1" t="str">
        <f>Vlookup(C214,'Oil &amp; Gas Documents - Canada'!F:M,2,FALSE)</f>
        <v>#N/A</v>
      </c>
      <c r="E214" s="1" t="str">
        <f>Vlookup(C214,'Oil &amp; Gas Documents - Canada'!F:N,9,FALSE)</f>
        <v>#N/A</v>
      </c>
      <c r="F214" s="1" t="s">
        <v>1389</v>
      </c>
      <c r="G214" s="4" t="str">
        <f>HYPERLINK("http://nimonikapp.com/legislations/241","http://nimonikapp.com/legislations/241")</f>
        <v>http://nimonikapp.com/legislations/241</v>
      </c>
      <c r="H214" s="1" t="s">
        <v>18</v>
      </c>
      <c r="I214" s="1" t="s">
        <v>1383</v>
      </c>
      <c r="J214" s="1" t="s">
        <v>1384</v>
      </c>
      <c r="K214" s="5">
        <v>44868.0</v>
      </c>
      <c r="M214" s="5">
        <v>44881.0</v>
      </c>
      <c r="N214" s="1" t="s">
        <v>1390</v>
      </c>
    </row>
    <row r="215" hidden="1">
      <c r="A215" s="1" t="s">
        <v>99</v>
      </c>
      <c r="B215" s="1" t="s">
        <v>15</v>
      </c>
      <c r="C215" s="1" t="s">
        <v>1391</v>
      </c>
      <c r="D215" s="1" t="str">
        <f>Vlookup(C215,'Oil &amp; Gas Documents - Canada'!F:M,2,FALSE)</f>
        <v>#N/A</v>
      </c>
      <c r="E215" s="1" t="str">
        <f>Vlookup(C215,'Oil &amp; Gas Documents - Canada'!F:N,9,FALSE)</f>
        <v>#N/A</v>
      </c>
      <c r="F215" s="1" t="s">
        <v>1392</v>
      </c>
      <c r="G215" s="4" t="str">
        <f>HYPERLINK("http://nimonikapp.com/legislations/381525","http://nimonikapp.com/legislations/381525")</f>
        <v>http://nimonikapp.com/legislations/381525</v>
      </c>
      <c r="H215" s="1" t="s">
        <v>18</v>
      </c>
      <c r="K215" s="5">
        <v>44875.0</v>
      </c>
      <c r="L215" s="5">
        <v>44875.0</v>
      </c>
      <c r="M215" s="5">
        <v>44880.0</v>
      </c>
    </row>
    <row r="216" hidden="1">
      <c r="A216" s="1" t="s">
        <v>202</v>
      </c>
      <c r="B216" s="1" t="s">
        <v>15</v>
      </c>
      <c r="C216" s="1" t="s">
        <v>1393</v>
      </c>
      <c r="D216" s="1" t="str">
        <f>Vlookup(C216,'Oil &amp; Gas Documents - Canada'!F:M,2,FALSE)</f>
        <v>#N/A</v>
      </c>
      <c r="E216" s="1" t="str">
        <f>Vlookup(C216,'Oil &amp; Gas Documents - Canada'!F:N,9,FALSE)</f>
        <v>#N/A</v>
      </c>
      <c r="F216" s="1" t="s">
        <v>1394</v>
      </c>
      <c r="G216" s="4" t="str">
        <f>HYPERLINK("http://nimonikapp.com/legislations/381518","http://nimonikapp.com/legislations/381518")</f>
        <v>http://nimonikapp.com/legislations/381518</v>
      </c>
      <c r="H216" s="1" t="s">
        <v>18</v>
      </c>
      <c r="K216" s="5">
        <v>44876.0</v>
      </c>
      <c r="L216" s="5">
        <v>44891.0</v>
      </c>
      <c r="M216" s="5">
        <v>44880.0</v>
      </c>
    </row>
    <row r="217" hidden="1">
      <c r="A217" s="1" t="s">
        <v>202</v>
      </c>
      <c r="B217" s="1" t="s">
        <v>15</v>
      </c>
      <c r="C217" s="1" t="s">
        <v>1395</v>
      </c>
      <c r="D217" s="1" t="str">
        <f>Vlookup(C217,'Oil &amp; Gas Documents - Canada'!F:M,2,FALSE)</f>
        <v>#N/A</v>
      </c>
      <c r="E217" s="1" t="str">
        <f>Vlookup(C217,'Oil &amp; Gas Documents - Canada'!F:N,9,FALSE)</f>
        <v>#N/A</v>
      </c>
      <c r="F217" s="1" t="s">
        <v>1396</v>
      </c>
      <c r="G217" s="4" t="str">
        <f>HYPERLINK("http://nimonikapp.com/legislations/381493","http://nimonikapp.com/legislations/381493")</f>
        <v>http://nimonikapp.com/legislations/381493</v>
      </c>
      <c r="H217" s="1" t="s">
        <v>69</v>
      </c>
      <c r="K217" s="5">
        <v>44875.0</v>
      </c>
      <c r="M217" s="5">
        <v>44880.0</v>
      </c>
    </row>
    <row r="218" hidden="1">
      <c r="A218" s="1" t="s">
        <v>73</v>
      </c>
      <c r="B218" s="1" t="s">
        <v>15</v>
      </c>
      <c r="C218" s="1" t="s">
        <v>1397</v>
      </c>
      <c r="D218" s="1" t="str">
        <f>Vlookup(C218,'Oil &amp; Gas Documents - Canada'!F:M,2,FALSE)</f>
        <v>#N/A</v>
      </c>
      <c r="E218" s="1" t="str">
        <f>Vlookup(C218,'Oil &amp; Gas Documents - Canada'!F:N,9,FALSE)</f>
        <v>#N/A</v>
      </c>
      <c r="F218" s="1" t="s">
        <v>1398</v>
      </c>
      <c r="G218" s="4" t="str">
        <f>HYPERLINK("http://nimonikapp.com/legislations/381496","http://nimonikapp.com/legislations/381496")</f>
        <v>http://nimonikapp.com/legislations/381496</v>
      </c>
      <c r="H218" s="1" t="s">
        <v>69</v>
      </c>
      <c r="K218" s="5">
        <v>44877.0</v>
      </c>
      <c r="M218" s="5">
        <v>44880.0</v>
      </c>
    </row>
    <row r="219">
      <c r="A219" s="1" t="s">
        <v>21</v>
      </c>
      <c r="B219" s="1" t="s">
        <v>25</v>
      </c>
      <c r="C219" s="1" t="s">
        <v>127</v>
      </c>
      <c r="D219" s="1" t="s">
        <v>26</v>
      </c>
      <c r="E219" s="1" t="str">
        <f>Vlookup(C219,'Oil &amp; Gas Documents - Canada'!F:N,9,FALSE)</f>
        <v>#N/A</v>
      </c>
      <c r="F219" s="1" t="s">
        <v>126</v>
      </c>
      <c r="G219" s="4" t="str">
        <f>HYPERLINK("http://nimonikapp.com/legislations/118631","http://nimonikapp.com/legislations/118631")</f>
        <v>http://nimonikapp.com/legislations/118631</v>
      </c>
      <c r="H219" s="1" t="s">
        <v>18</v>
      </c>
      <c r="I219" s="1" t="s">
        <v>129</v>
      </c>
      <c r="J219" s="1" t="s">
        <v>130</v>
      </c>
      <c r="K219" s="5">
        <v>44802.0</v>
      </c>
      <c r="L219" s="5">
        <v>44927.0</v>
      </c>
      <c r="M219" s="5">
        <v>44880.0</v>
      </c>
      <c r="N219" s="1" t="s">
        <v>128</v>
      </c>
    </row>
    <row r="220">
      <c r="A220" s="1" t="s">
        <v>21</v>
      </c>
      <c r="B220" s="1" t="s">
        <v>25</v>
      </c>
      <c r="C220" s="1" t="s">
        <v>132</v>
      </c>
      <c r="D220" s="1" t="s">
        <v>26</v>
      </c>
      <c r="E220" s="1" t="str">
        <f>Vlookup(C220,'Oil &amp; Gas Documents - Canada'!F:N,9,FALSE)</f>
        <v>#N/A</v>
      </c>
      <c r="F220" s="1" t="s">
        <v>131</v>
      </c>
      <c r="G220" s="4" t="str">
        <f>HYPERLINK("http://nimonikapp.com/legislations/118630","http://nimonikapp.com/legislations/118630")</f>
        <v>http://nimonikapp.com/legislations/118630</v>
      </c>
      <c r="H220" s="1" t="s">
        <v>18</v>
      </c>
      <c r="I220" s="1" t="s">
        <v>134</v>
      </c>
      <c r="J220" s="1" t="s">
        <v>135</v>
      </c>
      <c r="K220" s="5">
        <v>44802.0</v>
      </c>
      <c r="L220" s="5">
        <v>44927.0</v>
      </c>
      <c r="M220" s="5">
        <v>44880.0</v>
      </c>
      <c r="N220" s="1" t="s">
        <v>133</v>
      </c>
    </row>
    <row r="221" hidden="1">
      <c r="A221" s="1" t="s">
        <v>99</v>
      </c>
      <c r="B221" s="1" t="s">
        <v>25</v>
      </c>
      <c r="C221" s="1" t="s">
        <v>1399</v>
      </c>
      <c r="D221" s="1" t="str">
        <f>Vlookup(C221,'Oil &amp; Gas Documents - Canada'!F:M,2,FALSE)</f>
        <v>#N/A</v>
      </c>
      <c r="E221" s="1" t="str">
        <f>Vlookup(C221,'Oil &amp; Gas Documents - Canada'!F:N,9,FALSE)</f>
        <v>#N/A</v>
      </c>
      <c r="F221" s="1" t="s">
        <v>1400</v>
      </c>
      <c r="G221" s="4" t="str">
        <f>HYPERLINK("http://nimonikapp.com/legislations/2390","http://nimonikapp.com/legislations/2390")</f>
        <v>http://nimonikapp.com/legislations/2390</v>
      </c>
      <c r="H221" s="1" t="s">
        <v>18</v>
      </c>
      <c r="I221" s="1" t="s">
        <v>1401</v>
      </c>
      <c r="J221" s="1" t="s">
        <v>1402</v>
      </c>
      <c r="K221" s="5">
        <v>44875.0</v>
      </c>
      <c r="L221" s="5">
        <v>43817.0</v>
      </c>
      <c r="M221" s="5">
        <v>44880.0</v>
      </c>
      <c r="N221" s="1" t="s">
        <v>1403</v>
      </c>
    </row>
    <row r="222" hidden="1">
      <c r="A222" s="1" t="s">
        <v>21</v>
      </c>
      <c r="B222" s="1" t="s">
        <v>352</v>
      </c>
      <c r="C222" s="1" t="s">
        <v>1404</v>
      </c>
      <c r="D222" s="1" t="str">
        <f>Vlookup(C222,'Oil &amp; Gas Documents - Canada'!F:M,2,FALSE)</f>
        <v>#N/A</v>
      </c>
      <c r="E222" s="1" t="str">
        <f>Vlookup(C222,'Oil &amp; Gas Documents - Canada'!F:N,9,FALSE)</f>
        <v>#N/A</v>
      </c>
      <c r="F222" s="1" t="s">
        <v>1405</v>
      </c>
      <c r="G222" s="4" t="str">
        <f>HYPERLINK("http://nimonikapp.com/legislations/109336","http://nimonikapp.com/legislations/109336")</f>
        <v>http://nimonikapp.com/legislations/109336</v>
      </c>
      <c r="H222" s="1" t="s">
        <v>356</v>
      </c>
      <c r="I222" s="1" t="s">
        <v>1406</v>
      </c>
      <c r="J222" s="1" t="s">
        <v>1407</v>
      </c>
      <c r="K222" s="5">
        <v>44799.0</v>
      </c>
      <c r="L222" s="5">
        <v>44799.0</v>
      </c>
      <c r="M222" s="5">
        <v>44879.0</v>
      </c>
      <c r="N222" s="1" t="s">
        <v>1408</v>
      </c>
    </row>
    <row r="223" hidden="1">
      <c r="A223" s="1" t="s">
        <v>202</v>
      </c>
      <c r="B223" s="1" t="s">
        <v>25</v>
      </c>
      <c r="C223" s="1" t="s">
        <v>1409</v>
      </c>
      <c r="D223" s="1" t="str">
        <f>Vlookup(C223,'Oil &amp; Gas Documents - Canada'!F:M,2,FALSE)</f>
        <v>#N/A</v>
      </c>
      <c r="E223" s="1" t="str">
        <f>Vlookup(C223,'Oil &amp; Gas Documents - Canada'!F:N,9,FALSE)</f>
        <v>#N/A</v>
      </c>
      <c r="F223" s="1" t="s">
        <v>1410</v>
      </c>
      <c r="G223" s="4" t="str">
        <f>HYPERLINK("http://nimonikapp.com/legislations/350586","http://nimonikapp.com/legislations/350586")</f>
        <v>http://nimonikapp.com/legislations/350586</v>
      </c>
      <c r="H223" s="1" t="s">
        <v>18</v>
      </c>
      <c r="I223" s="1" t="s">
        <v>1411</v>
      </c>
      <c r="J223" s="1" t="s">
        <v>1412</v>
      </c>
      <c r="K223" s="5">
        <v>44875.0</v>
      </c>
      <c r="L223" s="5">
        <v>44874.0</v>
      </c>
      <c r="M223" s="5">
        <v>44879.0</v>
      </c>
      <c r="N223" s="1" t="s">
        <v>1413</v>
      </c>
    </row>
    <row r="224" hidden="1">
      <c r="A224" s="1" t="s">
        <v>21</v>
      </c>
      <c r="B224" s="1" t="s">
        <v>364</v>
      </c>
      <c r="C224" s="1" t="s">
        <v>1414</v>
      </c>
      <c r="D224" s="1" t="str">
        <f>Vlookup(C224,'Oil &amp; Gas Documents - Canada'!F:M,2,FALSE)</f>
        <v>#N/A</v>
      </c>
      <c r="E224" s="1" t="str">
        <f>Vlookup(C224,'Oil &amp; Gas Documents - Canada'!F:N,9,FALSE)</f>
        <v>#N/A</v>
      </c>
      <c r="F224" s="1" t="s">
        <v>1415</v>
      </c>
      <c r="G224" s="4" t="str">
        <f>HYPERLINK("http://nimonikapp.com/legislations/6402","http://nimonikapp.com/legislations/6402")</f>
        <v>http://nimonikapp.com/legislations/6402</v>
      </c>
      <c r="H224" s="1" t="s">
        <v>356</v>
      </c>
      <c r="I224" s="1" t="s">
        <v>1416</v>
      </c>
      <c r="J224" s="1" t="s">
        <v>1417</v>
      </c>
      <c r="K224" s="5">
        <v>44834.0</v>
      </c>
      <c r="L224" s="5">
        <v>44741.0</v>
      </c>
      <c r="M224" s="5">
        <v>44879.0</v>
      </c>
      <c r="N224" s="1" t="s">
        <v>1418</v>
      </c>
    </row>
    <row r="225" hidden="1">
      <c r="A225" s="1" t="s">
        <v>70</v>
      </c>
      <c r="B225" s="1" t="s">
        <v>15</v>
      </c>
      <c r="C225" s="1" t="s">
        <v>1419</v>
      </c>
      <c r="D225" s="1" t="str">
        <f>Vlookup(C225,'Oil &amp; Gas Documents - Canada'!F:M,2,FALSE)</f>
        <v>#N/A</v>
      </c>
      <c r="E225" s="1" t="str">
        <f>Vlookup(C225,'Oil &amp; Gas Documents - Canada'!F:N,9,FALSE)</f>
        <v>#N/A</v>
      </c>
      <c r="F225" s="1" t="s">
        <v>1420</v>
      </c>
      <c r="G225" s="4" t="str">
        <f>HYPERLINK("http://nimonikapp.com/legislations/380619","http://nimonikapp.com/legislations/380619")</f>
        <v>http://nimonikapp.com/legislations/380619</v>
      </c>
      <c r="H225" s="1" t="s">
        <v>69</v>
      </c>
      <c r="K225" s="5">
        <v>44875.0</v>
      </c>
      <c r="M225" s="5">
        <v>44875.0</v>
      </c>
    </row>
    <row r="226" hidden="1">
      <c r="A226" s="1" t="s">
        <v>73</v>
      </c>
      <c r="B226" s="1" t="s">
        <v>15</v>
      </c>
      <c r="C226" s="1" t="s">
        <v>1421</v>
      </c>
      <c r="D226" s="1" t="str">
        <f>Vlookup(C226,'Oil &amp; Gas Documents - Canada'!F:M,2,FALSE)</f>
        <v>#N/A</v>
      </c>
      <c r="E226" s="1" t="str">
        <f>Vlookup(C226,'Oil &amp; Gas Documents - Canada'!F:N,9,FALSE)</f>
        <v>#N/A</v>
      </c>
      <c r="F226" s="1" t="s">
        <v>1422</v>
      </c>
      <c r="G226" s="4" t="str">
        <f>HYPERLINK("http://nimonikapp.com/legislations/380625","http://nimonikapp.com/legislations/380625")</f>
        <v>http://nimonikapp.com/legislations/380625</v>
      </c>
      <c r="H226" s="1" t="s">
        <v>18</v>
      </c>
      <c r="K226" s="5">
        <v>44874.0</v>
      </c>
      <c r="L226" s="5">
        <v>44854.0</v>
      </c>
      <c r="M226" s="5">
        <v>44875.0</v>
      </c>
    </row>
    <row r="227" hidden="1">
      <c r="A227" s="1" t="s">
        <v>73</v>
      </c>
      <c r="B227" s="1" t="s">
        <v>15</v>
      </c>
      <c r="C227" s="1" t="s">
        <v>1423</v>
      </c>
      <c r="D227" s="1" t="str">
        <f>Vlookup(C227,'Oil &amp; Gas Documents - Canada'!F:M,2,FALSE)</f>
        <v>#N/A</v>
      </c>
      <c r="E227" s="1" t="str">
        <f>Vlookup(C227,'Oil &amp; Gas Documents - Canada'!F:N,9,FALSE)</f>
        <v>#N/A</v>
      </c>
      <c r="F227" s="1" t="s">
        <v>1424</v>
      </c>
      <c r="G227" s="4" t="str">
        <f>HYPERLINK("http://nimonikapp.com/legislations/380623","http://nimonikapp.com/legislations/380623")</f>
        <v>http://nimonikapp.com/legislations/380623</v>
      </c>
      <c r="H227" s="1" t="s">
        <v>18</v>
      </c>
      <c r="K227" s="5">
        <v>44874.0</v>
      </c>
      <c r="L227" s="5">
        <v>44854.0</v>
      </c>
      <c r="M227" s="5">
        <v>44875.0</v>
      </c>
    </row>
    <row r="228" hidden="1">
      <c r="A228" s="1" t="s">
        <v>73</v>
      </c>
      <c r="B228" s="1" t="s">
        <v>15</v>
      </c>
      <c r="C228" s="1" t="s">
        <v>1425</v>
      </c>
      <c r="D228" s="1" t="str">
        <f>Vlookup(C228,'Oil &amp; Gas Documents - Canada'!F:M,2,FALSE)</f>
        <v>#N/A</v>
      </c>
      <c r="E228" s="1" t="str">
        <f>Vlookup(C228,'Oil &amp; Gas Documents - Canada'!F:N,9,FALSE)</f>
        <v>#N/A</v>
      </c>
      <c r="F228" s="1" t="s">
        <v>1426</v>
      </c>
      <c r="G228" s="4" t="str">
        <f>HYPERLINK("http://nimonikapp.com/legislations/380621","http://nimonikapp.com/legislations/380621")</f>
        <v>http://nimonikapp.com/legislations/380621</v>
      </c>
      <c r="H228" s="1" t="s">
        <v>18</v>
      </c>
      <c r="K228" s="5">
        <v>44874.0</v>
      </c>
      <c r="L228" s="5">
        <v>44854.0</v>
      </c>
      <c r="M228" s="5">
        <v>44875.0</v>
      </c>
    </row>
    <row r="229" hidden="1">
      <c r="A229" s="1" t="s">
        <v>73</v>
      </c>
      <c r="B229" s="1" t="s">
        <v>15</v>
      </c>
      <c r="C229" s="1" t="s">
        <v>1427</v>
      </c>
      <c r="D229" s="1" t="str">
        <f>Vlookup(C229,'Oil &amp; Gas Documents - Canada'!F:M,2,FALSE)</f>
        <v>#N/A</v>
      </c>
      <c r="E229" s="1" t="str">
        <f>Vlookup(C229,'Oil &amp; Gas Documents - Canada'!F:N,9,FALSE)</f>
        <v>#N/A</v>
      </c>
      <c r="F229" s="1" t="s">
        <v>1428</v>
      </c>
      <c r="G229" s="4" t="str">
        <f>HYPERLINK("http://nimonikapp.com/legislations/380604","http://nimonikapp.com/legislations/380604")</f>
        <v>http://nimonikapp.com/legislations/380604</v>
      </c>
      <c r="H229" s="1" t="s">
        <v>69</v>
      </c>
      <c r="K229" s="5">
        <v>44870.0</v>
      </c>
      <c r="M229" s="5">
        <v>44875.0</v>
      </c>
    </row>
    <row r="230" hidden="1">
      <c r="A230" s="1" t="s">
        <v>73</v>
      </c>
      <c r="B230" s="1" t="s">
        <v>25</v>
      </c>
      <c r="C230" s="1" t="s">
        <v>1050</v>
      </c>
      <c r="D230" s="1" t="str">
        <f>Vlookup(C230,'Oil &amp; Gas Documents - Canada'!F:M,2,FALSE)</f>
        <v>#N/A</v>
      </c>
      <c r="E230" s="1" t="str">
        <f>Vlookup(C230,'Oil &amp; Gas Documents - Canada'!F:N,9,FALSE)</f>
        <v>#N/A</v>
      </c>
      <c r="F230" s="1" t="s">
        <v>1051</v>
      </c>
      <c r="G230" s="4" t="str">
        <f>HYPERLINK("http://nimonikapp.com/legislations/321960","http://nimonikapp.com/legislations/321960")</f>
        <v>http://nimonikapp.com/legislations/321960</v>
      </c>
      <c r="H230" s="1" t="s">
        <v>18</v>
      </c>
      <c r="I230" s="1" t="s">
        <v>1429</v>
      </c>
      <c r="J230" s="1" t="s">
        <v>1053</v>
      </c>
      <c r="K230" s="5">
        <v>44874.0</v>
      </c>
      <c r="L230" s="5">
        <v>44853.0</v>
      </c>
      <c r="M230" s="5">
        <v>44875.0</v>
      </c>
      <c r="N230" s="1" t="s">
        <v>1054</v>
      </c>
    </row>
    <row r="231" hidden="1">
      <c r="A231" s="1" t="s">
        <v>73</v>
      </c>
      <c r="B231" s="1" t="s">
        <v>25</v>
      </c>
      <c r="C231" s="1" t="s">
        <v>1430</v>
      </c>
      <c r="D231" s="1" t="str">
        <f>Vlookup(C231,'Oil &amp; Gas Documents - Canada'!F:M,2,FALSE)</f>
        <v>#N/A</v>
      </c>
      <c r="E231" s="1" t="str">
        <f>Vlookup(C231,'Oil &amp; Gas Documents - Canada'!F:N,9,FALSE)</f>
        <v>#N/A</v>
      </c>
      <c r="F231" s="1" t="s">
        <v>1431</v>
      </c>
      <c r="G231" s="4" t="str">
        <f>HYPERLINK("http://nimonikapp.com/legislations/6190","http://nimonikapp.com/legislations/6190")</f>
        <v>http://nimonikapp.com/legislations/6190</v>
      </c>
      <c r="H231" s="1" t="s">
        <v>18</v>
      </c>
      <c r="I231" s="1" t="s">
        <v>1432</v>
      </c>
      <c r="J231" s="1" t="s">
        <v>1433</v>
      </c>
      <c r="K231" s="5">
        <v>44874.0</v>
      </c>
      <c r="L231" s="5">
        <v>44854.0</v>
      </c>
      <c r="M231" s="5">
        <v>44875.0</v>
      </c>
      <c r="N231" s="1" t="s">
        <v>1434</v>
      </c>
    </row>
    <row r="232" hidden="1">
      <c r="A232" s="1" t="s">
        <v>73</v>
      </c>
      <c r="B232" s="1" t="s">
        <v>25</v>
      </c>
      <c r="C232" s="1" t="s">
        <v>1435</v>
      </c>
      <c r="D232" s="1" t="str">
        <f>Vlookup(C232,'Oil &amp; Gas Documents - Canada'!F:M,2,FALSE)</f>
        <v>#N/A</v>
      </c>
      <c r="E232" s="1" t="str">
        <f>Vlookup(C232,'Oil &amp; Gas Documents - Canada'!F:N,9,FALSE)</f>
        <v>#N/A</v>
      </c>
      <c r="F232" s="1" t="s">
        <v>1436</v>
      </c>
      <c r="G232" s="4" t="str">
        <f>HYPERLINK("http://nimonikapp.com/legislations/321802","http://nimonikapp.com/legislations/321802")</f>
        <v>http://nimonikapp.com/legislations/321802</v>
      </c>
      <c r="H232" s="1" t="s">
        <v>18</v>
      </c>
      <c r="I232" s="1" t="s">
        <v>1437</v>
      </c>
      <c r="J232" s="1" t="s">
        <v>1438</v>
      </c>
      <c r="K232" s="5">
        <v>44874.0</v>
      </c>
      <c r="L232" s="5">
        <v>44881.0</v>
      </c>
      <c r="M232" s="5">
        <v>44875.0</v>
      </c>
      <c r="N232" s="1" t="s">
        <v>1439</v>
      </c>
    </row>
    <row r="233" hidden="1">
      <c r="A233" s="1" t="s">
        <v>73</v>
      </c>
      <c r="B233" s="1" t="s">
        <v>25</v>
      </c>
      <c r="C233" s="1" t="s">
        <v>1440</v>
      </c>
      <c r="D233" s="1" t="str">
        <f>Vlookup(C233,'Oil &amp; Gas Documents - Canada'!F:M,2,FALSE)</f>
        <v>#N/A</v>
      </c>
      <c r="E233" s="1" t="str">
        <f>Vlookup(C233,'Oil &amp; Gas Documents - Canada'!F:N,9,FALSE)</f>
        <v>#N/A</v>
      </c>
      <c r="F233" s="1" t="s">
        <v>1441</v>
      </c>
      <c r="G233" s="4" t="str">
        <f>HYPERLINK("http://nimonikapp.com/legislations/103872","http://nimonikapp.com/legislations/103872")</f>
        <v>http://nimonikapp.com/legislations/103872</v>
      </c>
      <c r="H233" s="1" t="s">
        <v>18</v>
      </c>
      <c r="I233" s="1" t="s">
        <v>1442</v>
      </c>
      <c r="J233" s="1" t="s">
        <v>1443</v>
      </c>
      <c r="K233" s="5">
        <v>44874.0</v>
      </c>
      <c r="L233" s="5">
        <v>44855.0</v>
      </c>
      <c r="M233" s="5">
        <v>44875.0</v>
      </c>
      <c r="N233" s="1" t="s">
        <v>1444</v>
      </c>
    </row>
    <row r="234" hidden="1">
      <c r="A234" s="1" t="s">
        <v>73</v>
      </c>
      <c r="B234" s="1" t="s">
        <v>25</v>
      </c>
      <c r="C234" s="1" t="s">
        <v>1445</v>
      </c>
      <c r="D234" s="1" t="str">
        <f>Vlookup(C234,'Oil &amp; Gas Documents - Canada'!F:M,2,FALSE)</f>
        <v>#N/A</v>
      </c>
      <c r="E234" s="1" t="str">
        <f>Vlookup(C234,'Oil &amp; Gas Documents - Canada'!F:N,9,FALSE)</f>
        <v>#N/A</v>
      </c>
      <c r="F234" s="1" t="s">
        <v>1446</v>
      </c>
      <c r="G234" s="4" t="str">
        <f>HYPERLINK("http://nimonikapp.com/legislations/1206","http://nimonikapp.com/legislations/1206")</f>
        <v>http://nimonikapp.com/legislations/1206</v>
      </c>
      <c r="H234" s="1" t="s">
        <v>18</v>
      </c>
      <c r="I234" s="1" t="s">
        <v>1442</v>
      </c>
      <c r="J234" s="1" t="s">
        <v>1443</v>
      </c>
      <c r="K234" s="5">
        <v>44874.0</v>
      </c>
      <c r="L234" s="5">
        <v>44855.0</v>
      </c>
      <c r="M234" s="5">
        <v>44875.0</v>
      </c>
      <c r="N234" s="1" t="s">
        <v>1447</v>
      </c>
    </row>
    <row r="235" hidden="1">
      <c r="A235" s="1" t="s">
        <v>73</v>
      </c>
      <c r="B235" s="1" t="s">
        <v>25</v>
      </c>
      <c r="C235" s="1" t="s">
        <v>1050</v>
      </c>
      <c r="D235" s="1" t="str">
        <f>Vlookup(C235,'Oil &amp; Gas Documents - Canada'!F:M,2,FALSE)</f>
        <v>#N/A</v>
      </c>
      <c r="E235" s="1" t="str">
        <f>Vlookup(C235,'Oil &amp; Gas Documents - Canada'!F:N,9,FALSE)</f>
        <v>#N/A</v>
      </c>
      <c r="F235" s="1" t="s">
        <v>1051</v>
      </c>
      <c r="G235" s="4" t="str">
        <f>HYPERLINK("http://nimonikapp.com/legislations/321960","http://nimonikapp.com/legislations/321960")</f>
        <v>http://nimonikapp.com/legislations/321960</v>
      </c>
      <c r="H235" s="1" t="s">
        <v>18</v>
      </c>
      <c r="I235" s="1" t="s">
        <v>1448</v>
      </c>
      <c r="J235" s="1" t="s">
        <v>1053</v>
      </c>
      <c r="K235" s="5">
        <v>44874.0</v>
      </c>
      <c r="L235" s="5">
        <v>44862.0</v>
      </c>
      <c r="M235" s="5">
        <v>44875.0</v>
      </c>
      <c r="N235" s="1" t="s">
        <v>1054</v>
      </c>
    </row>
    <row r="236" hidden="1">
      <c r="A236" s="1" t="s">
        <v>73</v>
      </c>
      <c r="B236" s="1" t="s">
        <v>25</v>
      </c>
      <c r="C236" s="1" t="s">
        <v>1449</v>
      </c>
      <c r="D236" s="1" t="str">
        <f>Vlookup(C236,'Oil &amp; Gas Documents - Canada'!F:M,2,FALSE)</f>
        <v>#N/A</v>
      </c>
      <c r="E236" s="1" t="str">
        <f>Vlookup(C236,'Oil &amp; Gas Documents - Canada'!F:N,9,FALSE)</f>
        <v>#N/A</v>
      </c>
      <c r="F236" s="1" t="s">
        <v>1450</v>
      </c>
      <c r="G236" s="4" t="str">
        <f>HYPERLINK("http://nimonikapp.com/legislations/4483","http://nimonikapp.com/legislations/4483")</f>
        <v>http://nimonikapp.com/legislations/4483</v>
      </c>
      <c r="H236" s="1" t="s">
        <v>18</v>
      </c>
      <c r="I236" s="1" t="s">
        <v>1451</v>
      </c>
      <c r="J236" s="1" t="s">
        <v>1452</v>
      </c>
      <c r="K236" s="5">
        <v>44874.0</v>
      </c>
      <c r="L236" s="5">
        <v>44858.0</v>
      </c>
      <c r="M236" s="5">
        <v>44875.0</v>
      </c>
      <c r="N236" s="1" t="s">
        <v>1453</v>
      </c>
    </row>
    <row r="237" hidden="1">
      <c r="A237" s="1" t="s">
        <v>73</v>
      </c>
      <c r="B237" s="1" t="s">
        <v>25</v>
      </c>
      <c r="C237" s="1" t="s">
        <v>1045</v>
      </c>
      <c r="D237" s="1" t="str">
        <f>Vlookup(C237,'Oil &amp; Gas Documents - Canada'!F:M,2,FALSE)</f>
        <v>#N/A</v>
      </c>
      <c r="E237" s="1" t="str">
        <f>Vlookup(C237,'Oil &amp; Gas Documents - Canada'!F:N,9,FALSE)</f>
        <v>#N/A</v>
      </c>
      <c r="F237" s="1" t="s">
        <v>1046</v>
      </c>
      <c r="G237" s="4" t="str">
        <f>HYPERLINK("http://nimonikapp.com/legislations/321966","http://nimonikapp.com/legislations/321966")</f>
        <v>http://nimonikapp.com/legislations/321966</v>
      </c>
      <c r="H237" s="1" t="s">
        <v>18</v>
      </c>
      <c r="I237" s="1" t="s">
        <v>1454</v>
      </c>
      <c r="J237" s="1" t="s">
        <v>1048</v>
      </c>
      <c r="K237" s="5">
        <v>44874.0</v>
      </c>
      <c r="L237" s="5">
        <v>44862.0</v>
      </c>
      <c r="M237" s="5">
        <v>44875.0</v>
      </c>
      <c r="N237" s="1" t="s">
        <v>1049</v>
      </c>
    </row>
    <row r="238" hidden="1">
      <c r="A238" s="1" t="s">
        <v>73</v>
      </c>
      <c r="B238" s="1" t="s">
        <v>25</v>
      </c>
      <c r="C238" s="1" t="s">
        <v>1455</v>
      </c>
      <c r="D238" s="1" t="str">
        <f>Vlookup(C238,'Oil &amp; Gas Documents - Canada'!F:M,2,FALSE)</f>
        <v>#N/A</v>
      </c>
      <c r="E238" s="1" t="str">
        <f>Vlookup(C238,'Oil &amp; Gas Documents - Canada'!F:N,9,FALSE)</f>
        <v>#N/A</v>
      </c>
      <c r="F238" s="1" t="s">
        <v>1456</v>
      </c>
      <c r="G238" s="4" t="str">
        <f>HYPERLINK("http://nimonikapp.com/legislations/321940","http://nimonikapp.com/legislations/321940")</f>
        <v>http://nimonikapp.com/legislations/321940</v>
      </c>
      <c r="H238" s="1" t="s">
        <v>18</v>
      </c>
      <c r="I238" s="1" t="s">
        <v>1457</v>
      </c>
      <c r="J238" s="1" t="s">
        <v>1458</v>
      </c>
      <c r="K238" s="5">
        <v>44874.0</v>
      </c>
      <c r="L238" s="5">
        <v>44862.0</v>
      </c>
      <c r="M238" s="5">
        <v>44875.0</v>
      </c>
      <c r="N238" s="1" t="s">
        <v>1459</v>
      </c>
    </row>
    <row r="239">
      <c r="A239" s="1" t="s">
        <v>21</v>
      </c>
      <c r="B239" s="1" t="s">
        <v>25</v>
      </c>
      <c r="C239" s="1" t="s">
        <v>137</v>
      </c>
      <c r="D239" s="1" t="str">
        <f>Vlookup(C239,'Oil &amp; Gas Documents - Canada'!F:M,2,FALSE)</f>
        <v>oil_and_gas</v>
      </c>
      <c r="E239" s="1" t="str">
        <f>Vlookup(C239,'Oil &amp; Gas Documents - Canada'!F:N,9,FALSE)</f>
        <v/>
      </c>
      <c r="F239" s="1" t="s">
        <v>136</v>
      </c>
      <c r="G239" s="4" t="str">
        <f>HYPERLINK("http://nimonikapp.com/legislations/284609","http://nimonikapp.com/legislations/284609")</f>
        <v>http://nimonikapp.com/legislations/284609</v>
      </c>
      <c r="H239" s="1" t="s">
        <v>18</v>
      </c>
      <c r="I239" s="1" t="s">
        <v>139</v>
      </c>
      <c r="J239" s="1" t="s">
        <v>140</v>
      </c>
      <c r="K239" s="5">
        <v>44692.0</v>
      </c>
      <c r="L239" s="5">
        <v>44692.0</v>
      </c>
      <c r="M239" s="5">
        <v>44875.0</v>
      </c>
      <c r="N239" s="1" t="s">
        <v>138</v>
      </c>
    </row>
    <row r="240">
      <c r="A240" s="1" t="s">
        <v>70</v>
      </c>
      <c r="B240" s="1" t="s">
        <v>15</v>
      </c>
      <c r="C240" s="1" t="s">
        <v>142</v>
      </c>
      <c r="D240" s="1" t="s">
        <v>26</v>
      </c>
      <c r="E240" s="1" t="str">
        <f>Vlookup(C240,'Oil &amp; Gas Documents - Canada'!F:N,9,FALSE)</f>
        <v>#N/A</v>
      </c>
      <c r="F240" s="1" t="s">
        <v>141</v>
      </c>
      <c r="G240" s="4" t="str">
        <f>HYPERLINK("http://nimonikapp.com/legislations/380350","http://nimonikapp.com/legislations/380350")</f>
        <v>http://nimonikapp.com/legislations/380350</v>
      </c>
      <c r="H240" s="1" t="s">
        <v>69</v>
      </c>
      <c r="K240" s="5">
        <v>44868.0</v>
      </c>
      <c r="M240" s="5">
        <v>44874.0</v>
      </c>
    </row>
    <row r="241" hidden="1">
      <c r="A241" s="1" t="s">
        <v>70</v>
      </c>
      <c r="B241" s="1" t="s">
        <v>15</v>
      </c>
      <c r="C241" s="1" t="s">
        <v>1460</v>
      </c>
      <c r="D241" s="1" t="str">
        <f>Vlookup(C241,'Oil &amp; Gas Documents - Canada'!F:M,2,FALSE)</f>
        <v>#N/A</v>
      </c>
      <c r="E241" s="1" t="str">
        <f>Vlookup(C241,'Oil &amp; Gas Documents - Canada'!F:N,9,FALSE)</f>
        <v>#N/A</v>
      </c>
      <c r="F241" s="1" t="s">
        <v>1461</v>
      </c>
      <c r="G241" s="4" t="str">
        <f>HYPERLINK("http://nimonikapp.com/legislations/380349","http://nimonikapp.com/legislations/380349")</f>
        <v>http://nimonikapp.com/legislations/380349</v>
      </c>
      <c r="H241" s="1" t="s">
        <v>69</v>
      </c>
      <c r="K241" s="5">
        <v>44869.0</v>
      </c>
      <c r="M241" s="5">
        <v>44874.0</v>
      </c>
    </row>
    <row r="242" hidden="1">
      <c r="A242" s="1" t="s">
        <v>73</v>
      </c>
      <c r="B242" s="1" t="s">
        <v>15</v>
      </c>
      <c r="C242" s="1" t="s">
        <v>1462</v>
      </c>
      <c r="D242" s="1" t="str">
        <f>Vlookup(C242,'Oil &amp; Gas Documents - Canada'!F:M,2,FALSE)</f>
        <v>#N/A</v>
      </c>
      <c r="E242" s="1" t="str">
        <f>Vlookup(C242,'Oil &amp; Gas Documents - Canada'!F:N,9,FALSE)</f>
        <v>#N/A</v>
      </c>
      <c r="F242" s="1" t="s">
        <v>1463</v>
      </c>
      <c r="G242" s="4" t="str">
        <f>HYPERLINK("http://nimonikapp.com/legislations/380359","http://nimonikapp.com/legislations/380359")</f>
        <v>http://nimonikapp.com/legislations/380359</v>
      </c>
      <c r="H242" s="1" t="s">
        <v>52</v>
      </c>
      <c r="K242" s="5">
        <v>44870.0</v>
      </c>
      <c r="L242" s="5">
        <v>44960.0</v>
      </c>
      <c r="M242" s="5">
        <v>44874.0</v>
      </c>
    </row>
    <row r="243" hidden="1">
      <c r="A243" s="1" t="s">
        <v>73</v>
      </c>
      <c r="B243" s="1" t="s">
        <v>15</v>
      </c>
      <c r="C243" s="1" t="s">
        <v>1464</v>
      </c>
      <c r="D243" s="1" t="str">
        <f>Vlookup(C243,'Oil &amp; Gas Documents - Canada'!F:M,2,FALSE)</f>
        <v>#N/A</v>
      </c>
      <c r="E243" s="1" t="str">
        <f>Vlookup(C243,'Oil &amp; Gas Documents - Canada'!F:N,9,FALSE)</f>
        <v>#N/A</v>
      </c>
      <c r="F243" s="1" t="s">
        <v>1465</v>
      </c>
      <c r="G243" s="4" t="str">
        <f>HYPERLINK("http://nimonikapp.com/legislations/380357","http://nimonikapp.com/legislations/380357")</f>
        <v>http://nimonikapp.com/legislations/380357</v>
      </c>
      <c r="H243" s="1" t="s">
        <v>18</v>
      </c>
      <c r="K243" s="5">
        <v>44870.0</v>
      </c>
      <c r="L243" s="5">
        <v>44852.0</v>
      </c>
      <c r="M243" s="5">
        <v>44874.0</v>
      </c>
    </row>
    <row r="244" hidden="1">
      <c r="A244" s="1" t="s">
        <v>73</v>
      </c>
      <c r="B244" s="1" t="s">
        <v>15</v>
      </c>
      <c r="C244" s="1" t="s">
        <v>1466</v>
      </c>
      <c r="D244" s="1" t="str">
        <f>Vlookup(C244,'Oil &amp; Gas Documents - Canada'!F:M,2,FALSE)</f>
        <v>#N/A</v>
      </c>
      <c r="E244" s="1" t="str">
        <f>Vlookup(C244,'Oil &amp; Gas Documents - Canada'!F:N,9,FALSE)</f>
        <v>#N/A</v>
      </c>
      <c r="F244" s="1" t="s">
        <v>1467</v>
      </c>
      <c r="G244" s="4" t="str">
        <f>HYPERLINK("http://nimonikapp.com/legislations/380356","http://nimonikapp.com/legislations/380356")</f>
        <v>http://nimonikapp.com/legislations/380356</v>
      </c>
      <c r="H244" s="1" t="s">
        <v>18</v>
      </c>
      <c r="K244" s="5">
        <v>44870.0</v>
      </c>
      <c r="L244" s="5">
        <v>44858.0</v>
      </c>
      <c r="M244" s="5">
        <v>44874.0</v>
      </c>
    </row>
    <row r="245" hidden="1">
      <c r="A245" s="1" t="s">
        <v>73</v>
      </c>
      <c r="B245" s="1" t="s">
        <v>15</v>
      </c>
      <c r="C245" s="1" t="s">
        <v>1468</v>
      </c>
      <c r="D245" s="1" t="str">
        <f>Vlookup(C245,'Oil &amp; Gas Documents - Canada'!F:M,2,FALSE)</f>
        <v>#N/A</v>
      </c>
      <c r="E245" s="1" t="str">
        <f>Vlookup(C245,'Oil &amp; Gas Documents - Canada'!F:N,9,FALSE)</f>
        <v>#N/A</v>
      </c>
      <c r="F245" s="1" t="s">
        <v>1469</v>
      </c>
      <c r="G245" s="4" t="str">
        <f>HYPERLINK("http://nimonikapp.com/legislations/380355","http://nimonikapp.com/legislations/380355")</f>
        <v>http://nimonikapp.com/legislations/380355</v>
      </c>
      <c r="H245" s="1" t="s">
        <v>18</v>
      </c>
      <c r="K245" s="5">
        <v>44870.0</v>
      </c>
      <c r="L245" s="5">
        <v>44852.0</v>
      </c>
      <c r="M245" s="5">
        <v>44874.0</v>
      </c>
    </row>
    <row r="246" hidden="1">
      <c r="A246" s="1" t="s">
        <v>70</v>
      </c>
      <c r="B246" s="1" t="s">
        <v>25</v>
      </c>
      <c r="C246" s="1" t="s">
        <v>1470</v>
      </c>
      <c r="D246" s="1" t="str">
        <f>Vlookup(C246,'Oil &amp; Gas Documents - Canada'!F:M,2,FALSE)</f>
        <v>#N/A</v>
      </c>
      <c r="E246" s="1" t="str">
        <f>Vlookup(C246,'Oil &amp; Gas Documents - Canada'!F:N,9,FALSE)</f>
        <v>#N/A</v>
      </c>
      <c r="F246" s="1" t="s">
        <v>1471</v>
      </c>
      <c r="G246" s="4" t="str">
        <f>HYPERLINK("http://nimonikapp.com/legislations/1311","http://nimonikapp.com/legislations/1311")</f>
        <v>http://nimonikapp.com/legislations/1311</v>
      </c>
      <c r="H246" s="1" t="s">
        <v>18</v>
      </c>
      <c r="I246" s="1" t="s">
        <v>1472</v>
      </c>
      <c r="J246" s="1" t="s">
        <v>1473</v>
      </c>
      <c r="K246" s="5">
        <v>44891.0</v>
      </c>
      <c r="L246" s="5">
        <v>44872.0</v>
      </c>
      <c r="M246" s="5">
        <v>44874.0</v>
      </c>
    </row>
    <row r="247" hidden="1">
      <c r="A247" s="1" t="s">
        <v>70</v>
      </c>
      <c r="B247" s="1" t="s">
        <v>25</v>
      </c>
      <c r="C247" s="1" t="s">
        <v>1474</v>
      </c>
      <c r="D247" s="1" t="str">
        <f>Vlookup(C247,'Oil &amp; Gas Documents - Canada'!F:M,2,FALSE)</f>
        <v>#N/A</v>
      </c>
      <c r="E247" s="1" t="str">
        <f>Vlookup(C247,'Oil &amp; Gas Documents - Canada'!F:N,9,FALSE)</f>
        <v>#N/A</v>
      </c>
      <c r="F247" s="1" t="s">
        <v>1475</v>
      </c>
      <c r="G247" s="4" t="str">
        <f>HYPERLINK("http://nimonikapp.com/legislations/1312","http://nimonikapp.com/legislations/1312")</f>
        <v>http://nimonikapp.com/legislations/1312</v>
      </c>
      <c r="H247" s="1" t="s">
        <v>18</v>
      </c>
      <c r="I247" s="1" t="s">
        <v>1476</v>
      </c>
      <c r="J247" s="1" t="s">
        <v>1477</v>
      </c>
      <c r="K247" s="5">
        <v>44891.0</v>
      </c>
      <c r="L247" s="5">
        <v>44872.0</v>
      </c>
      <c r="M247" s="5">
        <v>44874.0</v>
      </c>
      <c r="N247" s="1" t="s">
        <v>1478</v>
      </c>
    </row>
    <row r="248" hidden="1">
      <c r="A248" s="1" t="s">
        <v>486</v>
      </c>
      <c r="B248" s="1" t="s">
        <v>25</v>
      </c>
      <c r="C248" s="1" t="s">
        <v>1479</v>
      </c>
      <c r="D248" s="1" t="str">
        <f>Vlookup(C248,'Oil &amp; Gas Documents - Canada'!F:M,2,FALSE)</f>
        <v>#N/A</v>
      </c>
      <c r="E248" s="1" t="str">
        <f>Vlookup(C248,'Oil &amp; Gas Documents - Canada'!F:N,9,FALSE)</f>
        <v>#N/A</v>
      </c>
      <c r="F248" s="1" t="s">
        <v>1480</v>
      </c>
      <c r="G248" s="4" t="str">
        <f>HYPERLINK("http://nimonikapp.com/legislations/373625","http://nimonikapp.com/legislations/373625")</f>
        <v>http://nimonikapp.com/legislations/373625</v>
      </c>
      <c r="H248" s="1" t="s">
        <v>18</v>
      </c>
      <c r="I248" s="1" t="s">
        <v>1481</v>
      </c>
      <c r="J248" s="1" t="s">
        <v>999</v>
      </c>
      <c r="K248" s="5">
        <v>44870.0</v>
      </c>
      <c r="L248" s="5">
        <v>44927.0</v>
      </c>
      <c r="M248" s="5">
        <v>44874.0</v>
      </c>
      <c r="N248" s="1" t="s">
        <v>1482</v>
      </c>
    </row>
    <row r="249" hidden="1">
      <c r="A249" s="1" t="s">
        <v>14</v>
      </c>
      <c r="B249" s="1" t="s">
        <v>25</v>
      </c>
      <c r="C249" s="1" t="s">
        <v>1483</v>
      </c>
      <c r="D249" s="1" t="str">
        <f>Vlookup(C249,'Oil &amp; Gas Documents - Canada'!F:M,2,FALSE)</f>
        <v>#N/A</v>
      </c>
      <c r="E249" s="1" t="str">
        <f>Vlookup(C249,'Oil &amp; Gas Documents - Canada'!F:N,9,FALSE)</f>
        <v>#N/A</v>
      </c>
      <c r="F249" s="1" t="s">
        <v>1484</v>
      </c>
      <c r="G249" s="4" t="str">
        <f>HYPERLINK("http://nimonikapp.com/legislations/627","http://nimonikapp.com/legislations/627")</f>
        <v>http://nimonikapp.com/legislations/627</v>
      </c>
      <c r="H249" s="1" t="s">
        <v>18</v>
      </c>
      <c r="I249" s="1" t="s">
        <v>1485</v>
      </c>
      <c r="J249" s="1" t="s">
        <v>1486</v>
      </c>
      <c r="K249" s="5">
        <v>44869.0</v>
      </c>
      <c r="M249" s="5">
        <v>44874.0</v>
      </c>
      <c r="N249" s="1" t="s">
        <v>1487</v>
      </c>
    </row>
    <row r="250" hidden="1">
      <c r="A250" s="1" t="s">
        <v>14</v>
      </c>
      <c r="B250" s="1" t="s">
        <v>25</v>
      </c>
      <c r="C250" s="1" t="s">
        <v>1488</v>
      </c>
      <c r="D250" s="1" t="str">
        <f>Vlookup(C250,'Oil &amp; Gas Documents - Canada'!F:M,2,FALSE)</f>
        <v>#N/A</v>
      </c>
      <c r="E250" s="1" t="str">
        <f>Vlookup(C250,'Oil &amp; Gas Documents - Canada'!F:N,9,FALSE)</f>
        <v>#N/A</v>
      </c>
      <c r="F250" s="1" t="s">
        <v>1489</v>
      </c>
      <c r="G250" s="4" t="str">
        <f>HYPERLINK("http://nimonikapp.com/legislations/625","http://nimonikapp.com/legislations/625")</f>
        <v>http://nimonikapp.com/legislations/625</v>
      </c>
      <c r="H250" s="1" t="s">
        <v>18</v>
      </c>
      <c r="I250" s="1" t="s">
        <v>1485</v>
      </c>
      <c r="J250" s="1" t="s">
        <v>1486</v>
      </c>
      <c r="K250" s="5">
        <v>44869.0</v>
      </c>
      <c r="M250" s="5">
        <v>44874.0</v>
      </c>
      <c r="N250" s="1" t="s">
        <v>1487</v>
      </c>
    </row>
    <row r="251" hidden="1">
      <c r="A251" s="1" t="s">
        <v>70</v>
      </c>
      <c r="B251" s="1" t="s">
        <v>15</v>
      </c>
      <c r="C251" s="1" t="s">
        <v>1490</v>
      </c>
      <c r="D251" s="1" t="str">
        <f>Vlookup(C251,'Oil &amp; Gas Documents - Canada'!F:M,2,FALSE)</f>
        <v>#N/A</v>
      </c>
      <c r="E251" s="1" t="str">
        <f>Vlookup(C251,'Oil &amp; Gas Documents - Canada'!F:N,9,FALSE)</f>
        <v>#N/A</v>
      </c>
      <c r="F251" s="1" t="s">
        <v>1491</v>
      </c>
      <c r="G251" s="4" t="str">
        <f>HYPERLINK("http://nimonikapp.com/legislations/379685","http://nimonikapp.com/legislations/379685")</f>
        <v>http://nimonikapp.com/legislations/379685</v>
      </c>
      <c r="H251" s="1" t="s">
        <v>69</v>
      </c>
      <c r="K251" s="5">
        <v>44859.0</v>
      </c>
      <c r="M251" s="5">
        <v>44873.0</v>
      </c>
    </row>
    <row r="252" hidden="1">
      <c r="A252" s="1" t="s">
        <v>24</v>
      </c>
      <c r="B252" s="1" t="s">
        <v>25</v>
      </c>
      <c r="C252" s="1" t="s">
        <v>1492</v>
      </c>
      <c r="D252" s="1" t="str">
        <f>Vlookup(C252,'Oil &amp; Gas Documents - Canada'!F:M,2,FALSE)</f>
        <v>#N/A</v>
      </c>
      <c r="E252" s="1" t="str">
        <f>Vlookup(C252,'Oil &amp; Gas Documents - Canada'!F:N,9,FALSE)</f>
        <v>#N/A</v>
      </c>
      <c r="F252" s="1" t="s">
        <v>1493</v>
      </c>
      <c r="G252" s="4" t="str">
        <f>HYPERLINK("http://nimonikapp.com/legislations/654","http://nimonikapp.com/legislations/654")</f>
        <v>http://nimonikapp.com/legislations/654</v>
      </c>
      <c r="H252" s="1" t="s">
        <v>18</v>
      </c>
      <c r="I252" s="1" t="s">
        <v>1494</v>
      </c>
      <c r="J252" s="1" t="s">
        <v>1495</v>
      </c>
      <c r="K252" s="5">
        <v>44823.0</v>
      </c>
      <c r="L252" s="5">
        <v>44823.0</v>
      </c>
      <c r="M252" s="5">
        <v>44873.0</v>
      </c>
      <c r="N252" s="1" t="s">
        <v>1496</v>
      </c>
    </row>
    <row r="253">
      <c r="A253" s="1" t="s">
        <v>24</v>
      </c>
      <c r="B253" s="1" t="s">
        <v>25</v>
      </c>
      <c r="C253" s="1" t="s">
        <v>144</v>
      </c>
      <c r="D253" s="1" t="str">
        <f>Vlookup(C253,'Oil &amp; Gas Documents - Canada'!F:M,2,FALSE)</f>
        <v>oil_and_gas</v>
      </c>
      <c r="E253" s="1" t="str">
        <f>Vlookup(C253,'Oil &amp; Gas Documents - Canada'!F:N,9,FALSE)</f>
        <v/>
      </c>
      <c r="F253" s="1" t="s">
        <v>143</v>
      </c>
      <c r="G253" s="4" t="str">
        <f>HYPERLINK("http://nimonikapp.com/legislations/129722","http://nimonikapp.com/legislations/129722")</f>
        <v>http://nimonikapp.com/legislations/129722</v>
      </c>
      <c r="H253" s="1" t="s">
        <v>18</v>
      </c>
      <c r="I253" s="1" t="s">
        <v>146</v>
      </c>
      <c r="J253" s="1" t="s">
        <v>147</v>
      </c>
      <c r="K253" s="5">
        <v>44806.0</v>
      </c>
      <c r="L253" s="5">
        <v>44806.0</v>
      </c>
      <c r="M253" s="5">
        <v>44873.0</v>
      </c>
      <c r="N253" s="1" t="s">
        <v>145</v>
      </c>
    </row>
    <row r="254">
      <c r="A254" s="1" t="s">
        <v>24</v>
      </c>
      <c r="B254" s="1" t="s">
        <v>25</v>
      </c>
      <c r="C254" s="1" t="s">
        <v>149</v>
      </c>
      <c r="D254" s="1" t="str">
        <f>Vlookup(C254,'Oil &amp; Gas Documents - Canada'!F:M,2,FALSE)</f>
        <v>oil_and_gas</v>
      </c>
      <c r="E254" s="1" t="str">
        <f>Vlookup(C254,'Oil &amp; Gas Documents - Canada'!F:N,9,FALSE)</f>
        <v/>
      </c>
      <c r="F254" s="1" t="s">
        <v>148</v>
      </c>
      <c r="G254" s="4" t="str">
        <f>HYPERLINK("http://nimonikapp.com/legislations/10262","http://nimonikapp.com/legislations/10262")</f>
        <v>http://nimonikapp.com/legislations/10262</v>
      </c>
      <c r="H254" s="1" t="s">
        <v>18</v>
      </c>
      <c r="I254" s="1" t="s">
        <v>151</v>
      </c>
      <c r="J254" s="1" t="s">
        <v>152</v>
      </c>
      <c r="K254" s="5">
        <v>44832.0</v>
      </c>
      <c r="L254" s="5">
        <v>44440.0</v>
      </c>
      <c r="M254" s="5">
        <v>44873.0</v>
      </c>
      <c r="N254" s="1" t="s">
        <v>150</v>
      </c>
    </row>
    <row r="255">
      <c r="A255" s="1" t="s">
        <v>24</v>
      </c>
      <c r="B255" s="1" t="s">
        <v>25</v>
      </c>
      <c r="C255" s="1" t="s">
        <v>154</v>
      </c>
      <c r="D255" s="1" t="str">
        <f>Vlookup(C255,'Oil &amp; Gas Documents - Canada'!F:M,2,FALSE)</f>
        <v>oil_and_gas</v>
      </c>
      <c r="E255" s="1" t="str">
        <f>Vlookup(C255,'Oil &amp; Gas Documents - Canada'!F:N,9,FALSE)</f>
        <v/>
      </c>
      <c r="F255" s="1" t="s">
        <v>153</v>
      </c>
      <c r="G255" s="4" t="str">
        <f>HYPERLINK("http://nimonikapp.com/legislations/267174","http://nimonikapp.com/legislations/267174")</f>
        <v>http://nimonikapp.com/legislations/267174</v>
      </c>
      <c r="H255" s="1" t="s">
        <v>18</v>
      </c>
      <c r="I255" s="1" t="s">
        <v>156</v>
      </c>
      <c r="J255" s="1" t="s">
        <v>157</v>
      </c>
      <c r="K255" s="5">
        <v>44805.0</v>
      </c>
      <c r="L255" s="5">
        <v>44835.0</v>
      </c>
      <c r="M255" s="5">
        <v>44873.0</v>
      </c>
      <c r="N255" s="1" t="s">
        <v>155</v>
      </c>
    </row>
    <row r="256" hidden="1">
      <c r="A256" s="1" t="s">
        <v>24</v>
      </c>
      <c r="B256" s="1" t="s">
        <v>25</v>
      </c>
      <c r="C256" s="1" t="s">
        <v>1497</v>
      </c>
      <c r="D256" s="1" t="str">
        <f>Vlookup(C256,'Oil &amp; Gas Documents - Canada'!F:M,2,FALSE)</f>
        <v>#N/A</v>
      </c>
      <c r="E256" s="1" t="str">
        <f>Vlookup(C256,'Oil &amp; Gas Documents - Canada'!F:N,9,FALSE)</f>
        <v>#N/A</v>
      </c>
      <c r="F256" s="1" t="s">
        <v>1498</v>
      </c>
      <c r="G256" s="4" t="str">
        <f>HYPERLINK("http://nimonikapp.com/legislations/10462","http://nimonikapp.com/legislations/10462")</f>
        <v>http://nimonikapp.com/legislations/10462</v>
      </c>
      <c r="H256" s="1" t="s">
        <v>18</v>
      </c>
      <c r="I256" s="1" t="s">
        <v>1499</v>
      </c>
      <c r="J256" s="1" t="s">
        <v>1500</v>
      </c>
      <c r="K256" s="5">
        <v>44621.0</v>
      </c>
      <c r="L256" s="5">
        <v>44621.0</v>
      </c>
      <c r="M256" s="5">
        <v>44873.0</v>
      </c>
      <c r="N256" s="1" t="s">
        <v>1501</v>
      </c>
    </row>
    <row r="257" hidden="1">
      <c r="A257" s="1" t="s">
        <v>53</v>
      </c>
      <c r="B257" s="1" t="s">
        <v>15</v>
      </c>
      <c r="C257" s="1" t="s">
        <v>1502</v>
      </c>
      <c r="D257" s="1" t="str">
        <f>Vlookup(C257,'Oil &amp; Gas Documents - Canada'!F:M,2,FALSE)</f>
        <v>#N/A</v>
      </c>
      <c r="E257" s="1" t="str">
        <f>Vlookup(C257,'Oil &amp; Gas Documents - Canada'!F:N,9,FALSE)</f>
        <v>#N/A</v>
      </c>
      <c r="F257" s="1" t="s">
        <v>1503</v>
      </c>
      <c r="G257" s="4" t="str">
        <f>HYPERLINK("http://nimonikapp.com/legislations/379682","http://nimonikapp.com/legislations/379682")</f>
        <v>http://nimonikapp.com/legislations/379682</v>
      </c>
      <c r="H257" s="1" t="s">
        <v>18</v>
      </c>
      <c r="K257" s="5">
        <v>44869.0</v>
      </c>
      <c r="L257" s="5">
        <v>44859.0</v>
      </c>
      <c r="M257" s="5">
        <v>44869.0</v>
      </c>
    </row>
    <row r="258" hidden="1">
      <c r="A258" s="1" t="s">
        <v>53</v>
      </c>
      <c r="B258" s="1" t="s">
        <v>15</v>
      </c>
      <c r="C258" s="1" t="s">
        <v>1504</v>
      </c>
      <c r="D258" s="1" t="str">
        <f>Vlookup(C258,'Oil &amp; Gas Documents - Canada'!F:M,2,FALSE)</f>
        <v>#N/A</v>
      </c>
      <c r="E258" s="1" t="str">
        <f>Vlookup(C258,'Oil &amp; Gas Documents - Canada'!F:N,9,FALSE)</f>
        <v>#N/A</v>
      </c>
      <c r="F258" s="1" t="s">
        <v>1505</v>
      </c>
      <c r="G258" s="4" t="str">
        <f>HYPERLINK("http://nimonikapp.com/legislations/379680","http://nimonikapp.com/legislations/379680")</f>
        <v>http://nimonikapp.com/legislations/379680</v>
      </c>
      <c r="H258" s="1" t="s">
        <v>18</v>
      </c>
      <c r="K258" s="5">
        <v>44869.0</v>
      </c>
      <c r="L258" s="5">
        <v>44852.0</v>
      </c>
      <c r="M258" s="5">
        <v>44869.0</v>
      </c>
    </row>
    <row r="259" hidden="1">
      <c r="A259" s="1" t="s">
        <v>53</v>
      </c>
      <c r="B259" s="1" t="s">
        <v>15</v>
      </c>
      <c r="C259" s="1" t="s">
        <v>1506</v>
      </c>
      <c r="D259" s="1" t="str">
        <f>Vlookup(C259,'Oil &amp; Gas Documents - Canada'!F:M,2,FALSE)</f>
        <v>#N/A</v>
      </c>
      <c r="E259" s="1" t="str">
        <f>Vlookup(C259,'Oil &amp; Gas Documents - Canada'!F:N,9,FALSE)</f>
        <v>#N/A</v>
      </c>
      <c r="F259" s="1" t="s">
        <v>1507</v>
      </c>
      <c r="G259" s="4" t="str">
        <f>HYPERLINK("http://nimonikapp.com/legislations/379679","http://nimonikapp.com/legislations/379679")</f>
        <v>http://nimonikapp.com/legislations/379679</v>
      </c>
      <c r="H259" s="1" t="s">
        <v>18</v>
      </c>
      <c r="K259" s="5">
        <v>44869.0</v>
      </c>
      <c r="L259" s="5">
        <v>44852.0</v>
      </c>
      <c r="M259" s="5">
        <v>44869.0</v>
      </c>
    </row>
    <row r="260" hidden="1">
      <c r="A260" s="1" t="s">
        <v>53</v>
      </c>
      <c r="B260" s="1" t="s">
        <v>15</v>
      </c>
      <c r="C260" s="1" t="s">
        <v>1508</v>
      </c>
      <c r="D260" s="1" t="str">
        <f>Vlookup(C260,'Oil &amp; Gas Documents - Canada'!F:M,2,FALSE)</f>
        <v>#N/A</v>
      </c>
      <c r="E260" s="1" t="str">
        <f>Vlookup(C260,'Oil &amp; Gas Documents - Canada'!F:N,9,FALSE)</f>
        <v>#N/A</v>
      </c>
      <c r="F260" s="1" t="s">
        <v>1509</v>
      </c>
      <c r="G260" s="4" t="str">
        <f>HYPERLINK("http://nimonikapp.com/legislations/379676","http://nimonikapp.com/legislations/379676")</f>
        <v>http://nimonikapp.com/legislations/379676</v>
      </c>
      <c r="H260" s="1" t="s">
        <v>69</v>
      </c>
      <c r="K260" s="5">
        <v>44861.0</v>
      </c>
      <c r="M260" s="5">
        <v>44869.0</v>
      </c>
    </row>
    <row r="261" hidden="1">
      <c r="A261" s="1" t="s">
        <v>1105</v>
      </c>
      <c r="B261" s="1" t="s">
        <v>15</v>
      </c>
      <c r="C261" s="1" t="s">
        <v>1510</v>
      </c>
      <c r="D261" s="1" t="str">
        <f>Vlookup(C261,'Oil &amp; Gas Documents - Canada'!F:M,2,FALSE)</f>
        <v>#N/A</v>
      </c>
      <c r="E261" s="1" t="str">
        <f>Vlookup(C261,'Oil &amp; Gas Documents - Canada'!F:N,9,FALSE)</f>
        <v>#N/A</v>
      </c>
      <c r="F261" s="1" t="s">
        <v>1511</v>
      </c>
      <c r="G261" s="4" t="str">
        <f>HYPERLINK("http://nimonikapp.com/legislations/379657","http://nimonikapp.com/legislations/379657")</f>
        <v>http://nimonikapp.com/legislations/379657</v>
      </c>
      <c r="H261" s="1" t="s">
        <v>69</v>
      </c>
      <c r="K261" s="5">
        <v>44859.0</v>
      </c>
      <c r="M261" s="5">
        <v>44869.0</v>
      </c>
    </row>
    <row r="262" hidden="1">
      <c r="A262" s="1" t="s">
        <v>221</v>
      </c>
      <c r="B262" s="1" t="s">
        <v>15</v>
      </c>
      <c r="C262" s="1" t="s">
        <v>1512</v>
      </c>
      <c r="D262" s="1" t="str">
        <f>Vlookup(C262,'Oil &amp; Gas Documents - Canada'!F:M,2,FALSE)</f>
        <v>#N/A</v>
      </c>
      <c r="E262" s="1" t="str">
        <f>Vlookup(C262,'Oil &amp; Gas Documents - Canada'!F:N,9,FALSE)</f>
        <v>#N/A</v>
      </c>
      <c r="F262" s="1" t="s">
        <v>1513</v>
      </c>
      <c r="G262" s="4" t="str">
        <f>HYPERLINK("http://nimonikapp.com/legislations/379656","http://nimonikapp.com/legislations/379656")</f>
        <v>http://nimonikapp.com/legislations/379656</v>
      </c>
      <c r="H262" s="1" t="s">
        <v>69</v>
      </c>
      <c r="K262" s="5">
        <v>44854.0</v>
      </c>
      <c r="M262" s="5">
        <v>44869.0</v>
      </c>
    </row>
    <row r="263" hidden="1">
      <c r="A263" s="1" t="s">
        <v>24</v>
      </c>
      <c r="B263" s="1" t="s">
        <v>15</v>
      </c>
      <c r="C263" s="1" t="s">
        <v>1514</v>
      </c>
      <c r="D263" s="1" t="str">
        <f>Vlookup(C263,'Oil &amp; Gas Documents - Canada'!F:M,2,FALSE)</f>
        <v>#N/A</v>
      </c>
      <c r="E263" s="1" t="str">
        <f>Vlookup(C263,'Oil &amp; Gas Documents - Canada'!F:N,9,FALSE)</f>
        <v>#N/A</v>
      </c>
      <c r="F263" s="1" t="s">
        <v>1515</v>
      </c>
      <c r="G263" s="4" t="str">
        <f>HYPERLINK("http://nimonikapp.com/legislations/379630","http://nimonikapp.com/legislations/379630")</f>
        <v>http://nimonikapp.com/legislations/379630</v>
      </c>
      <c r="H263" s="1" t="s">
        <v>69</v>
      </c>
      <c r="K263" s="5">
        <v>44866.0</v>
      </c>
      <c r="M263" s="5">
        <v>44869.0</v>
      </c>
    </row>
    <row r="264" hidden="1">
      <c r="A264" s="1" t="s">
        <v>70</v>
      </c>
      <c r="B264" s="1" t="s">
        <v>15</v>
      </c>
      <c r="C264" s="1" t="s">
        <v>1516</v>
      </c>
      <c r="D264" s="1" t="str">
        <f>Vlookup(C264,'Oil &amp; Gas Documents - Canada'!F:M,2,FALSE)</f>
        <v>#N/A</v>
      </c>
      <c r="E264" s="1" t="str">
        <f>Vlookup(C264,'Oil &amp; Gas Documents - Canada'!F:N,9,FALSE)</f>
        <v>#N/A</v>
      </c>
      <c r="F264" s="1" t="s">
        <v>1517</v>
      </c>
      <c r="G264" s="4" t="str">
        <f>HYPERLINK("http://nimonikapp.com/legislations/379627","http://nimonikapp.com/legislations/379627")</f>
        <v>http://nimonikapp.com/legislations/379627</v>
      </c>
      <c r="H264" s="1" t="s">
        <v>69</v>
      </c>
      <c r="K264" s="5">
        <v>44859.0</v>
      </c>
      <c r="M264" s="5">
        <v>44869.0</v>
      </c>
    </row>
    <row r="265" hidden="1">
      <c r="A265" s="1" t="s">
        <v>70</v>
      </c>
      <c r="B265" s="1" t="s">
        <v>15</v>
      </c>
      <c r="C265" s="1" t="s">
        <v>1518</v>
      </c>
      <c r="D265" s="1" t="str">
        <f>Vlookup(C265,'Oil &amp; Gas Documents - Canada'!F:M,2,FALSE)</f>
        <v>#N/A</v>
      </c>
      <c r="E265" s="1" t="str">
        <f>Vlookup(C265,'Oil &amp; Gas Documents - Canada'!F:N,9,FALSE)</f>
        <v>#N/A</v>
      </c>
      <c r="F265" s="1" t="s">
        <v>1519</v>
      </c>
      <c r="G265" s="4" t="str">
        <f>HYPERLINK("http://nimonikapp.com/legislations/379626","http://nimonikapp.com/legislations/379626")</f>
        <v>http://nimonikapp.com/legislations/379626</v>
      </c>
      <c r="H265" s="1" t="s">
        <v>69</v>
      </c>
      <c r="K265" s="5">
        <v>44859.0</v>
      </c>
      <c r="M265" s="5">
        <v>44869.0</v>
      </c>
    </row>
    <row r="266" hidden="1">
      <c r="A266" s="1" t="s">
        <v>99</v>
      </c>
      <c r="B266" s="1" t="s">
        <v>25</v>
      </c>
      <c r="C266" s="1" t="s">
        <v>1238</v>
      </c>
      <c r="D266" s="1" t="str">
        <f>Vlookup(C266,'Oil &amp; Gas Documents - Canada'!F:M,2,FALSE)</f>
        <v>#N/A</v>
      </c>
      <c r="E266" s="1" t="str">
        <f>Vlookup(C266,'Oil &amp; Gas Documents - Canada'!F:N,9,FALSE)</f>
        <v>#N/A</v>
      </c>
      <c r="F266" s="1" t="s">
        <v>1239</v>
      </c>
      <c r="G266" s="4" t="str">
        <f>HYPERLINK("http://nimonikapp.com/legislations/372180","http://nimonikapp.com/legislations/372180")</f>
        <v>http://nimonikapp.com/legislations/372180</v>
      </c>
      <c r="H266" s="1" t="s">
        <v>18</v>
      </c>
      <c r="I266" s="1" t="s">
        <v>1520</v>
      </c>
      <c r="J266" s="1" t="s">
        <v>1241</v>
      </c>
      <c r="K266" s="5">
        <v>44862.0</v>
      </c>
      <c r="L266" s="5">
        <v>44866.0</v>
      </c>
      <c r="M266" s="5">
        <v>44869.0</v>
      </c>
      <c r="N266" s="1" t="s">
        <v>123</v>
      </c>
    </row>
    <row r="267" hidden="1">
      <c r="A267" s="1" t="s">
        <v>99</v>
      </c>
      <c r="B267" s="1" t="s">
        <v>25</v>
      </c>
      <c r="C267" s="1" t="s">
        <v>1221</v>
      </c>
      <c r="D267" s="1" t="str">
        <f>Vlookup(C267,'Oil &amp; Gas Documents - Canada'!F:M,2,FALSE)</f>
        <v>#N/A</v>
      </c>
      <c r="E267" s="1" t="str">
        <f>Vlookup(C267,'Oil &amp; Gas Documents - Canada'!F:N,9,FALSE)</f>
        <v>#N/A</v>
      </c>
      <c r="F267" s="1" t="s">
        <v>1222</v>
      </c>
      <c r="G267" s="4" t="str">
        <f>HYPERLINK("http://nimonikapp.com/legislations/372188","http://nimonikapp.com/legislations/372188")</f>
        <v>http://nimonikapp.com/legislations/372188</v>
      </c>
      <c r="H267" s="1" t="s">
        <v>18</v>
      </c>
      <c r="I267" s="1" t="s">
        <v>1521</v>
      </c>
      <c r="J267" s="1" t="s">
        <v>1224</v>
      </c>
      <c r="K267" s="5">
        <v>44862.0</v>
      </c>
      <c r="L267" s="5">
        <v>44862.0</v>
      </c>
      <c r="M267" s="5">
        <v>44869.0</v>
      </c>
      <c r="N267" s="1" t="s">
        <v>1225</v>
      </c>
    </row>
    <row r="268" hidden="1">
      <c r="A268" s="1" t="s">
        <v>14</v>
      </c>
      <c r="B268" s="1" t="s">
        <v>25</v>
      </c>
      <c r="C268" s="1" t="s">
        <v>1522</v>
      </c>
      <c r="D268" s="1" t="str">
        <f>Vlookup(C268,'Oil &amp; Gas Documents - Canada'!F:M,2,FALSE)</f>
        <v>#N/A</v>
      </c>
      <c r="E268" s="1" t="str">
        <f>Vlookup(C268,'Oil &amp; Gas Documents - Canada'!F:N,9,FALSE)</f>
        <v>#N/A</v>
      </c>
      <c r="F268" s="1" t="s">
        <v>1523</v>
      </c>
      <c r="G268" s="4" t="str">
        <f>HYPERLINK("http://nimonikapp.com/legislations/3650","http://nimonikapp.com/legislations/3650")</f>
        <v>http://nimonikapp.com/legislations/3650</v>
      </c>
      <c r="H268" s="1" t="s">
        <v>18</v>
      </c>
      <c r="I268" s="1" t="s">
        <v>1524</v>
      </c>
      <c r="J268" s="1" t="s">
        <v>1525</v>
      </c>
      <c r="K268" s="5">
        <v>44862.0</v>
      </c>
      <c r="L268" s="5">
        <v>44854.0</v>
      </c>
      <c r="M268" s="5">
        <v>44869.0</v>
      </c>
      <c r="N268" s="1" t="s">
        <v>1526</v>
      </c>
    </row>
    <row r="269" hidden="1">
      <c r="A269" s="1" t="s">
        <v>1105</v>
      </c>
      <c r="B269" s="1" t="s">
        <v>25</v>
      </c>
      <c r="C269" s="1" t="s">
        <v>1527</v>
      </c>
      <c r="D269" s="1" t="str">
        <f>Vlookup(C269,'Oil &amp; Gas Documents - Canada'!F:M,2,FALSE)</f>
        <v>#N/A</v>
      </c>
      <c r="E269" s="1" t="str">
        <f>Vlookup(C269,'Oil &amp; Gas Documents - Canada'!F:N,9,FALSE)</f>
        <v>#N/A</v>
      </c>
      <c r="F269" s="1" t="s">
        <v>1528</v>
      </c>
      <c r="G269" s="4" t="str">
        <f>HYPERLINK("http://nimonikapp.com/legislations/599","http://nimonikapp.com/legislations/599")</f>
        <v>http://nimonikapp.com/legislations/599</v>
      </c>
      <c r="H269" s="1" t="s">
        <v>18</v>
      </c>
      <c r="I269" s="1" t="s">
        <v>1529</v>
      </c>
      <c r="J269" s="1" t="s">
        <v>1530</v>
      </c>
      <c r="K269" s="5">
        <v>44858.0</v>
      </c>
      <c r="L269" s="5">
        <v>44858.0</v>
      </c>
      <c r="M269" s="5">
        <v>44869.0</v>
      </c>
      <c r="N269" s="1" t="s">
        <v>1531</v>
      </c>
    </row>
    <row r="270" hidden="1">
      <c r="A270" s="1" t="s">
        <v>1105</v>
      </c>
      <c r="B270" s="1" t="s">
        <v>25</v>
      </c>
      <c r="C270" s="1" t="s">
        <v>1532</v>
      </c>
      <c r="D270" s="1" t="str">
        <f>Vlookup(C270,'Oil &amp; Gas Documents - Canada'!F:M,2,FALSE)</f>
        <v>#N/A</v>
      </c>
      <c r="E270" s="1" t="str">
        <f>Vlookup(C270,'Oil &amp; Gas Documents - Canada'!F:N,9,FALSE)</f>
        <v>#N/A</v>
      </c>
      <c r="F270" s="1" t="s">
        <v>1533</v>
      </c>
      <c r="G270" s="4" t="str">
        <f>HYPERLINK("http://nimonikapp.com/legislations/117826","http://nimonikapp.com/legislations/117826")</f>
        <v>http://nimonikapp.com/legislations/117826</v>
      </c>
      <c r="H270" s="1" t="s">
        <v>18</v>
      </c>
      <c r="I270" s="1" t="s">
        <v>1529</v>
      </c>
      <c r="J270" s="1" t="s">
        <v>1530</v>
      </c>
      <c r="K270" s="5">
        <v>44858.0</v>
      </c>
      <c r="L270" s="5">
        <v>44858.0</v>
      </c>
      <c r="M270" s="5">
        <v>44869.0</v>
      </c>
      <c r="N270" s="1" t="s">
        <v>1534</v>
      </c>
    </row>
    <row r="271" hidden="1">
      <c r="A271" s="1" t="s">
        <v>1105</v>
      </c>
      <c r="B271" s="1" t="s">
        <v>25</v>
      </c>
      <c r="C271" s="1" t="s">
        <v>1535</v>
      </c>
      <c r="D271" s="1" t="str">
        <f>Vlookup(C271,'Oil &amp; Gas Documents - Canada'!F:M,2,FALSE)</f>
        <v>#N/A</v>
      </c>
      <c r="E271" s="1" t="str">
        <f>Vlookup(C271,'Oil &amp; Gas Documents - Canada'!F:N,9,FALSE)</f>
        <v>#N/A</v>
      </c>
      <c r="F271" s="1" t="s">
        <v>1536</v>
      </c>
      <c r="G271" s="4" t="str">
        <f>HYPERLINK("http://nimonikapp.com/legislations/124724","http://nimonikapp.com/legislations/124724")</f>
        <v>http://nimonikapp.com/legislations/124724</v>
      </c>
      <c r="H271" s="1" t="s">
        <v>18</v>
      </c>
      <c r="I271" s="1" t="s">
        <v>1537</v>
      </c>
      <c r="J271" s="1" t="s">
        <v>1538</v>
      </c>
      <c r="K271" s="5">
        <v>44858.0</v>
      </c>
      <c r="L271" s="5">
        <v>44858.0</v>
      </c>
      <c r="M271" s="5">
        <v>44869.0</v>
      </c>
      <c r="N271" s="1" t="s">
        <v>1539</v>
      </c>
    </row>
    <row r="272" hidden="1">
      <c r="A272" s="1" t="s">
        <v>557</v>
      </c>
      <c r="B272" s="1" t="s">
        <v>25</v>
      </c>
      <c r="C272" s="1" t="s">
        <v>1540</v>
      </c>
      <c r="D272" s="1" t="str">
        <f>Vlookup(C272,'Oil &amp; Gas Documents - Canada'!F:M,2,FALSE)</f>
        <v>#N/A</v>
      </c>
      <c r="E272" s="1" t="str">
        <f>Vlookup(C272,'Oil &amp; Gas Documents - Canada'!F:N,9,FALSE)</f>
        <v>#N/A</v>
      </c>
      <c r="F272" s="1" t="s">
        <v>1541</v>
      </c>
      <c r="G272" s="4" t="str">
        <f>HYPERLINK("http://nimonikapp.com/legislations/1519","http://nimonikapp.com/legislations/1519")</f>
        <v>http://nimonikapp.com/legislations/1519</v>
      </c>
      <c r="H272" s="1" t="s">
        <v>18</v>
      </c>
      <c r="I272" s="1" t="s">
        <v>1542</v>
      </c>
      <c r="J272" s="1" t="s">
        <v>1543</v>
      </c>
      <c r="K272" s="5">
        <v>44865.0</v>
      </c>
      <c r="L272" s="5">
        <v>44927.0</v>
      </c>
      <c r="M272" s="5">
        <v>44869.0</v>
      </c>
      <c r="N272" s="1" t="s">
        <v>1544</v>
      </c>
    </row>
    <row r="273">
      <c r="A273" s="1" t="s">
        <v>24</v>
      </c>
      <c r="B273" s="1" t="s">
        <v>25</v>
      </c>
      <c r="C273" s="1" t="s">
        <v>49</v>
      </c>
      <c r="D273" s="1" t="s">
        <v>26</v>
      </c>
      <c r="E273" s="1" t="str">
        <f>Vlookup(C273,'Oil &amp; Gas Documents - Canada'!F:N,9,FALSE)</f>
        <v>#N/A</v>
      </c>
      <c r="F273" s="1" t="s">
        <v>48</v>
      </c>
      <c r="G273" s="4" t="str">
        <f>HYPERLINK("http://nimonikapp.com/legislations/51","http://nimonikapp.com/legislations/51")</f>
        <v>http://nimonikapp.com/legislations/51</v>
      </c>
      <c r="H273" s="1" t="s">
        <v>18</v>
      </c>
      <c r="I273" s="1" t="s">
        <v>158</v>
      </c>
      <c r="J273" s="1" t="s">
        <v>159</v>
      </c>
      <c r="K273" s="5">
        <v>44868.0</v>
      </c>
      <c r="L273" s="5">
        <v>44868.0</v>
      </c>
      <c r="M273" s="5">
        <v>44869.0</v>
      </c>
      <c r="N273" s="1" t="s">
        <v>29</v>
      </c>
    </row>
    <row r="274" hidden="1">
      <c r="A274" s="1" t="s">
        <v>24</v>
      </c>
      <c r="B274" s="1" t="s">
        <v>25</v>
      </c>
      <c r="C274" s="1" t="s">
        <v>1545</v>
      </c>
      <c r="D274" s="1" t="str">
        <f>Vlookup(C274,'Oil &amp; Gas Documents - Canada'!F:M,2,FALSE)</f>
        <v>#N/A</v>
      </c>
      <c r="E274" s="1" t="str">
        <f>Vlookup(C274,'Oil &amp; Gas Documents - Canada'!F:N,9,FALSE)</f>
        <v>#N/A</v>
      </c>
      <c r="F274" s="1" t="s">
        <v>1546</v>
      </c>
      <c r="G274" s="4" t="str">
        <f>HYPERLINK("http://nimonikapp.com/legislations/1479","http://nimonikapp.com/legislations/1479")</f>
        <v>http://nimonikapp.com/legislations/1479</v>
      </c>
      <c r="H274" s="1" t="s">
        <v>18</v>
      </c>
      <c r="I274" s="1" t="s">
        <v>1547</v>
      </c>
      <c r="J274" s="1" t="s">
        <v>1548</v>
      </c>
      <c r="K274" s="5">
        <v>44866.0</v>
      </c>
      <c r="L274" s="5">
        <v>44866.0</v>
      </c>
      <c r="M274" s="5">
        <v>44869.0</v>
      </c>
      <c r="N274" s="1" t="s">
        <v>1549</v>
      </c>
    </row>
    <row r="275" hidden="1">
      <c r="A275" s="1" t="s">
        <v>24</v>
      </c>
      <c r="B275" s="1" t="s">
        <v>25</v>
      </c>
      <c r="C275" s="1" t="s">
        <v>1550</v>
      </c>
      <c r="D275" s="1" t="str">
        <f>Vlookup(C275,'Oil &amp; Gas Documents - Canada'!F:M,2,FALSE)</f>
        <v>#N/A</v>
      </c>
      <c r="E275" s="1" t="str">
        <f>Vlookup(C275,'Oil &amp; Gas Documents - Canada'!F:N,9,FALSE)</f>
        <v>#N/A</v>
      </c>
      <c r="F275" s="1" t="s">
        <v>1551</v>
      </c>
      <c r="G275" s="4" t="str">
        <f>HYPERLINK("http://nimonikapp.com/legislations/96264","http://nimonikapp.com/legislations/96264")</f>
        <v>http://nimonikapp.com/legislations/96264</v>
      </c>
      <c r="H275" s="1" t="s">
        <v>18</v>
      </c>
      <c r="I275" s="1" t="s">
        <v>1552</v>
      </c>
      <c r="J275" s="1" t="s">
        <v>1553</v>
      </c>
      <c r="K275" s="5">
        <v>44868.0</v>
      </c>
      <c r="L275" s="5">
        <v>44868.0</v>
      </c>
      <c r="M275" s="5">
        <v>44869.0</v>
      </c>
      <c r="N275" s="1" t="s">
        <v>1554</v>
      </c>
    </row>
    <row r="276" hidden="1">
      <c r="A276" s="1" t="s">
        <v>24</v>
      </c>
      <c r="B276" s="1" t="s">
        <v>25</v>
      </c>
      <c r="C276" s="1" t="s">
        <v>1555</v>
      </c>
      <c r="D276" s="1" t="str">
        <f>Vlookup(C276,'Oil &amp; Gas Documents - Canada'!F:M,2,FALSE)</f>
        <v>#N/A</v>
      </c>
      <c r="E276" s="1" t="str">
        <f>Vlookup(C276,'Oil &amp; Gas Documents - Canada'!F:N,9,FALSE)</f>
        <v>#N/A</v>
      </c>
      <c r="F276" s="1" t="s">
        <v>1556</v>
      </c>
      <c r="G276" s="4" t="str">
        <f>HYPERLINK("http://nimonikapp.com/legislations/125627","http://nimonikapp.com/legislations/125627")</f>
        <v>http://nimonikapp.com/legislations/125627</v>
      </c>
      <c r="H276" s="1" t="s">
        <v>18</v>
      </c>
      <c r="I276" s="1" t="s">
        <v>1557</v>
      </c>
      <c r="J276" s="1" t="s">
        <v>1558</v>
      </c>
      <c r="K276" s="5">
        <v>44868.0</v>
      </c>
      <c r="M276" s="5">
        <v>44869.0</v>
      </c>
    </row>
    <row r="277" hidden="1">
      <c r="A277" s="1" t="s">
        <v>24</v>
      </c>
      <c r="B277" s="1" t="s">
        <v>25</v>
      </c>
      <c r="C277" s="1" t="s">
        <v>1559</v>
      </c>
      <c r="D277" s="1" t="str">
        <f>Vlookup(C277,'Oil &amp; Gas Documents - Canada'!F:M,2,FALSE)</f>
        <v>#N/A</v>
      </c>
      <c r="E277" s="1" t="str">
        <f>Vlookup(C277,'Oil &amp; Gas Documents - Canada'!F:N,9,FALSE)</f>
        <v>#N/A</v>
      </c>
      <c r="F277" s="1" t="s">
        <v>1560</v>
      </c>
      <c r="G277" s="4" t="str">
        <f>HYPERLINK("http://nimonikapp.com/legislations/10317","http://nimonikapp.com/legislations/10317")</f>
        <v>http://nimonikapp.com/legislations/10317</v>
      </c>
      <c r="H277" s="1" t="s">
        <v>18</v>
      </c>
      <c r="I277" s="1" t="s">
        <v>1561</v>
      </c>
      <c r="J277" s="1" t="s">
        <v>1562</v>
      </c>
      <c r="K277" s="5">
        <v>44868.0</v>
      </c>
      <c r="L277" s="5">
        <v>44868.0</v>
      </c>
      <c r="M277" s="5">
        <v>44869.0</v>
      </c>
      <c r="N277" s="1" t="s">
        <v>1563</v>
      </c>
    </row>
    <row r="278" hidden="1">
      <c r="A278" s="1" t="s">
        <v>53</v>
      </c>
      <c r="B278" s="1" t="s">
        <v>25</v>
      </c>
      <c r="C278" s="1" t="s">
        <v>927</v>
      </c>
      <c r="D278" s="1" t="str">
        <f>Vlookup(C278,'Oil &amp; Gas Documents - Canada'!F:M,2,FALSE)</f>
        <v>#N/A</v>
      </c>
      <c r="E278" s="1" t="str">
        <f>Vlookup(C278,'Oil &amp; Gas Documents - Canada'!F:N,9,FALSE)</f>
        <v>#N/A</v>
      </c>
      <c r="F278" s="1" t="s">
        <v>928</v>
      </c>
      <c r="G278" s="4" t="str">
        <f>HYPERLINK("http://nimonikapp.com/legislations/366575","http://nimonikapp.com/legislations/366575")</f>
        <v>http://nimonikapp.com/legislations/366575</v>
      </c>
      <c r="H278" s="1" t="s">
        <v>18</v>
      </c>
      <c r="I278" s="1" t="s">
        <v>1564</v>
      </c>
      <c r="J278" s="1" t="s">
        <v>930</v>
      </c>
      <c r="K278" s="5">
        <v>44869.0</v>
      </c>
      <c r="L278" s="5">
        <v>44853.0</v>
      </c>
      <c r="M278" s="5">
        <v>44869.0</v>
      </c>
      <c r="N278" s="1" t="s">
        <v>931</v>
      </c>
    </row>
    <row r="279" hidden="1">
      <c r="A279" s="1" t="s">
        <v>53</v>
      </c>
      <c r="B279" s="1" t="s">
        <v>25</v>
      </c>
      <c r="C279" s="1" t="s">
        <v>1565</v>
      </c>
      <c r="D279" s="1" t="str">
        <f>Vlookup(C279,'Oil &amp; Gas Documents - Canada'!F:M,2,FALSE)</f>
        <v>#N/A</v>
      </c>
      <c r="E279" s="1" t="str">
        <f>Vlookup(C279,'Oil &amp; Gas Documents - Canada'!F:N,9,FALSE)</f>
        <v>#N/A</v>
      </c>
      <c r="F279" s="1" t="s">
        <v>1566</v>
      </c>
      <c r="G279" s="4" t="str">
        <f>HYPERLINK("http://nimonikapp.com/legislations/379649","http://nimonikapp.com/legislations/379649")</f>
        <v>http://nimonikapp.com/legislations/379649</v>
      </c>
      <c r="H279" s="1" t="s">
        <v>18</v>
      </c>
      <c r="I279" s="1" t="s">
        <v>1567</v>
      </c>
      <c r="J279" s="1" t="s">
        <v>1568</v>
      </c>
      <c r="K279" s="5">
        <v>44869.0</v>
      </c>
      <c r="L279" s="5">
        <v>44852.0</v>
      </c>
      <c r="M279" s="5">
        <v>44869.0</v>
      </c>
      <c r="N279" s="1" t="s">
        <v>931</v>
      </c>
    </row>
    <row r="280" hidden="1">
      <c r="A280" s="1" t="s">
        <v>21</v>
      </c>
      <c r="B280" s="1" t="s">
        <v>15</v>
      </c>
      <c r="C280" s="1" t="s">
        <v>1569</v>
      </c>
      <c r="D280" s="1" t="str">
        <f>Vlookup(C280,'Oil &amp; Gas Documents - Canada'!F:M,2,FALSE)</f>
        <v>#N/A</v>
      </c>
      <c r="E280" s="1" t="str">
        <f>Vlookup(C280,'Oil &amp; Gas Documents - Canada'!F:N,9,FALSE)</f>
        <v>#N/A</v>
      </c>
      <c r="F280" s="1" t="s">
        <v>1570</v>
      </c>
      <c r="G280" s="4" t="str">
        <f>HYPERLINK("http://nimonikapp.com/legislations/379520","http://nimonikapp.com/legislations/379520")</f>
        <v>http://nimonikapp.com/legislations/379520</v>
      </c>
      <c r="H280" s="1" t="s">
        <v>18</v>
      </c>
      <c r="K280" s="5">
        <v>44865.0</v>
      </c>
      <c r="L280" s="5">
        <v>44895.0</v>
      </c>
      <c r="M280" s="5">
        <v>44867.0</v>
      </c>
    </row>
    <row r="281" hidden="1">
      <c r="A281" s="1" t="s">
        <v>73</v>
      </c>
      <c r="B281" s="1" t="s">
        <v>15</v>
      </c>
      <c r="C281" s="1" t="s">
        <v>1571</v>
      </c>
      <c r="D281" s="1" t="str">
        <f>Vlookup(C281,'Oil &amp; Gas Documents - Canada'!F:M,2,FALSE)</f>
        <v>#N/A</v>
      </c>
      <c r="E281" s="1" t="str">
        <f>Vlookup(C281,'Oil &amp; Gas Documents - Canada'!F:N,9,FALSE)</f>
        <v>#N/A</v>
      </c>
      <c r="F281" s="1" t="s">
        <v>1572</v>
      </c>
      <c r="G281" s="4" t="str">
        <f>HYPERLINK("http://nimonikapp.com/legislations/379496","http://nimonikapp.com/legislations/379496")</f>
        <v>http://nimonikapp.com/legislations/379496</v>
      </c>
      <c r="H281" s="1" t="s">
        <v>69</v>
      </c>
      <c r="K281" s="5">
        <v>44863.0</v>
      </c>
      <c r="M281" s="5">
        <v>44867.0</v>
      </c>
    </row>
    <row r="282" hidden="1">
      <c r="A282" s="1" t="s">
        <v>73</v>
      </c>
      <c r="B282" s="1" t="s">
        <v>15</v>
      </c>
      <c r="C282" s="1" t="s">
        <v>1573</v>
      </c>
      <c r="D282" s="1" t="str">
        <f>Vlookup(C282,'Oil &amp; Gas Documents - Canada'!F:M,2,FALSE)</f>
        <v>#N/A</v>
      </c>
      <c r="E282" s="1" t="str">
        <f>Vlookup(C282,'Oil &amp; Gas Documents - Canada'!F:N,9,FALSE)</f>
        <v>#N/A</v>
      </c>
      <c r="F282" s="1" t="s">
        <v>1574</v>
      </c>
      <c r="G282" s="4" t="str">
        <f>HYPERLINK("http://nimonikapp.com/legislations/379494","http://nimonikapp.com/legislations/379494")</f>
        <v>http://nimonikapp.com/legislations/379494</v>
      </c>
      <c r="H282" s="1" t="s">
        <v>69</v>
      </c>
      <c r="K282" s="5">
        <v>44863.0</v>
      </c>
      <c r="M282" s="5">
        <v>44867.0</v>
      </c>
    </row>
    <row r="283" hidden="1">
      <c r="A283" s="1" t="s">
        <v>70</v>
      </c>
      <c r="B283" s="1" t="s">
        <v>25</v>
      </c>
      <c r="C283" s="1" t="s">
        <v>1575</v>
      </c>
      <c r="D283" s="1" t="str">
        <f>Vlookup(C283,'Oil &amp; Gas Documents - Canada'!F:M,2,FALSE)</f>
        <v>#N/A</v>
      </c>
      <c r="E283" s="1" t="str">
        <f>Vlookup(C283,'Oil &amp; Gas Documents - Canada'!F:N,9,FALSE)</f>
        <v>#N/A</v>
      </c>
      <c r="F283" s="1" t="s">
        <v>1576</v>
      </c>
      <c r="G283" s="4" t="str">
        <f>HYPERLINK("http://nimonikapp.com/legislations/109898","http://nimonikapp.com/legislations/109898")</f>
        <v>http://nimonikapp.com/legislations/109898</v>
      </c>
      <c r="H283" s="1" t="s">
        <v>18</v>
      </c>
      <c r="I283" s="1" t="s">
        <v>1577</v>
      </c>
      <c r="J283" s="1" t="s">
        <v>1578</v>
      </c>
      <c r="K283" s="5">
        <v>44741.0</v>
      </c>
      <c r="L283" s="5">
        <v>44741.0</v>
      </c>
      <c r="M283" s="5">
        <v>44867.0</v>
      </c>
    </row>
    <row r="284" hidden="1">
      <c r="A284" s="1" t="s">
        <v>70</v>
      </c>
      <c r="B284" s="1" t="s">
        <v>25</v>
      </c>
      <c r="C284" s="1" t="s">
        <v>1579</v>
      </c>
      <c r="D284" s="1" t="str">
        <f>Vlookup(C284,'Oil &amp; Gas Documents - Canada'!F:M,2,FALSE)</f>
        <v>#N/A</v>
      </c>
      <c r="E284" s="1" t="str">
        <f>Vlookup(C284,'Oil &amp; Gas Documents - Canada'!F:N,9,FALSE)</f>
        <v>#N/A</v>
      </c>
      <c r="F284" s="1" t="s">
        <v>1580</v>
      </c>
      <c r="G284" s="4" t="str">
        <f>HYPERLINK("http://nimonikapp.com/legislations/439","http://nimonikapp.com/legislations/439")</f>
        <v>http://nimonikapp.com/legislations/439</v>
      </c>
      <c r="H284" s="1" t="s">
        <v>18</v>
      </c>
      <c r="I284" s="1" t="s">
        <v>1581</v>
      </c>
      <c r="J284" s="1" t="s">
        <v>1582</v>
      </c>
      <c r="K284" s="5">
        <v>44863.0</v>
      </c>
      <c r="M284" s="5">
        <v>44867.0</v>
      </c>
      <c r="N284" s="1" t="s">
        <v>1583</v>
      </c>
    </row>
    <row r="285" hidden="1">
      <c r="A285" s="1" t="s">
        <v>21</v>
      </c>
      <c r="B285" s="1" t="s">
        <v>25</v>
      </c>
      <c r="C285" s="1" t="s">
        <v>1299</v>
      </c>
      <c r="D285" s="1" t="str">
        <f>Vlookup(C285,'Oil &amp; Gas Documents - Canada'!F:M,2,FALSE)</f>
        <v>#N/A</v>
      </c>
      <c r="E285" s="1" t="str">
        <f>Vlookup(C285,'Oil &amp; Gas Documents - Canada'!F:N,9,FALSE)</f>
        <v>#N/A</v>
      </c>
      <c r="F285" s="1" t="s">
        <v>1300</v>
      </c>
      <c r="G285" s="4" t="str">
        <f>HYPERLINK("http://nimonikapp.com/legislations/4027","http://nimonikapp.com/legislations/4027")</f>
        <v>http://nimonikapp.com/legislations/4027</v>
      </c>
      <c r="H285" s="1" t="s">
        <v>18</v>
      </c>
      <c r="I285" s="1" t="s">
        <v>1584</v>
      </c>
      <c r="J285" s="1" t="s">
        <v>1585</v>
      </c>
      <c r="K285" s="5">
        <v>44865.0</v>
      </c>
      <c r="L285" s="5">
        <v>44867.0</v>
      </c>
      <c r="M285" s="5">
        <v>44867.0</v>
      </c>
      <c r="N285" s="1" t="s">
        <v>1301</v>
      </c>
    </row>
    <row r="286">
      <c r="A286" s="1" t="s">
        <v>21</v>
      </c>
      <c r="B286" s="1" t="s">
        <v>25</v>
      </c>
      <c r="C286" s="1" t="s">
        <v>105</v>
      </c>
      <c r="D286" s="1" t="str">
        <f>Vlookup(C286,'Oil &amp; Gas Documents - Canada'!F:M,2,FALSE)</f>
        <v>general, oil_and_gas</v>
      </c>
      <c r="E286" s="1" t="str">
        <f>Vlookup(C286,'Oil &amp; Gas Documents - Canada'!F:N,9,FALSE)</f>
        <v/>
      </c>
      <c r="F286" s="1" t="s">
        <v>104</v>
      </c>
      <c r="G286" s="4" t="str">
        <f t="shared" ref="G286:G287" si="6">HYPERLINK("http://nimonikapp.com/legislations/4208","http://nimonikapp.com/legislations/4208")</f>
        <v>http://nimonikapp.com/legislations/4208</v>
      </c>
      <c r="H286" s="1" t="s">
        <v>18</v>
      </c>
      <c r="I286" s="1" t="s">
        <v>160</v>
      </c>
      <c r="J286" s="1" t="s">
        <v>161</v>
      </c>
      <c r="K286" s="5">
        <v>44865.0</v>
      </c>
      <c r="L286" s="5">
        <v>44851.0</v>
      </c>
      <c r="M286" s="5">
        <v>44867.0</v>
      </c>
      <c r="N286" s="1" t="s">
        <v>106</v>
      </c>
    </row>
    <row r="287">
      <c r="A287" s="1" t="s">
        <v>21</v>
      </c>
      <c r="B287" s="1" t="s">
        <v>25</v>
      </c>
      <c r="C287" s="1" t="s">
        <v>105</v>
      </c>
      <c r="D287" s="1" t="str">
        <f>Vlookup(C287,'Oil &amp; Gas Documents - Canada'!F:M,2,FALSE)</f>
        <v>general, oil_and_gas</v>
      </c>
      <c r="E287" s="1" t="str">
        <f>Vlookup(C287,'Oil &amp; Gas Documents - Canada'!F:N,9,FALSE)</f>
        <v/>
      </c>
      <c r="F287" s="1" t="s">
        <v>104</v>
      </c>
      <c r="G287" s="4" t="str">
        <f t="shared" si="6"/>
        <v>http://nimonikapp.com/legislations/4208</v>
      </c>
      <c r="H287" s="1" t="s">
        <v>18</v>
      </c>
      <c r="I287" s="1" t="s">
        <v>162</v>
      </c>
      <c r="J287" s="1" t="s">
        <v>163</v>
      </c>
      <c r="K287" s="5">
        <v>44865.0</v>
      </c>
      <c r="L287" s="5">
        <v>44848.0</v>
      </c>
      <c r="M287" s="5">
        <v>44867.0</v>
      </c>
      <c r="N287" s="1" t="s">
        <v>106</v>
      </c>
    </row>
    <row r="288" hidden="1">
      <c r="A288" s="1" t="s">
        <v>21</v>
      </c>
      <c r="B288" s="1" t="s">
        <v>25</v>
      </c>
      <c r="C288" s="1" t="s">
        <v>1586</v>
      </c>
      <c r="D288" s="1" t="str">
        <f>Vlookup(C288,'Oil &amp; Gas Documents - Canada'!F:M,2,FALSE)</f>
        <v>#N/A</v>
      </c>
      <c r="E288" s="1" t="str">
        <f>Vlookup(C288,'Oil &amp; Gas Documents - Canada'!F:N,9,FALSE)</f>
        <v>#N/A</v>
      </c>
      <c r="F288" s="1" t="s">
        <v>1587</v>
      </c>
      <c r="G288" s="4" t="str">
        <f>HYPERLINK("http://nimonikapp.com/legislations/1133","http://nimonikapp.com/legislations/1133")</f>
        <v>http://nimonikapp.com/legislations/1133</v>
      </c>
      <c r="H288" s="1" t="s">
        <v>18</v>
      </c>
      <c r="I288" s="1" t="s">
        <v>1588</v>
      </c>
      <c r="J288" s="1" t="s">
        <v>1589</v>
      </c>
      <c r="K288" s="5">
        <v>44865.0</v>
      </c>
      <c r="L288" s="5">
        <v>44841.0</v>
      </c>
      <c r="M288" s="5">
        <v>44867.0</v>
      </c>
      <c r="N288" s="1" t="s">
        <v>1590</v>
      </c>
    </row>
    <row r="289">
      <c r="A289" s="1" t="s">
        <v>21</v>
      </c>
      <c r="B289" s="1" t="s">
        <v>25</v>
      </c>
      <c r="C289" s="1" t="s">
        <v>165</v>
      </c>
      <c r="D289" s="1" t="str">
        <f>Vlookup(C289,'Oil &amp; Gas Documents - Canada'!F:M,2,FALSE)</f>
        <v>oil_and_gas</v>
      </c>
      <c r="E289" s="1" t="str">
        <f>Vlookup(C289,'Oil &amp; Gas Documents - Canada'!F:N,9,FALSE)</f>
        <v/>
      </c>
      <c r="F289" s="1" t="s">
        <v>164</v>
      </c>
      <c r="G289" s="4" t="str">
        <f>HYPERLINK("http://nimonikapp.com/legislations/4050","http://nimonikapp.com/legislations/4050")</f>
        <v>http://nimonikapp.com/legislations/4050</v>
      </c>
      <c r="H289" s="1" t="s">
        <v>18</v>
      </c>
      <c r="I289" s="1" t="s">
        <v>167</v>
      </c>
      <c r="J289" s="1" t="s">
        <v>168</v>
      </c>
      <c r="K289" s="5">
        <v>44841.0</v>
      </c>
      <c r="L289" s="5">
        <v>44841.0</v>
      </c>
      <c r="M289" s="5">
        <v>44867.0</v>
      </c>
      <c r="N289" s="1" t="s">
        <v>166</v>
      </c>
    </row>
    <row r="290" hidden="1">
      <c r="A290" s="1" t="s">
        <v>99</v>
      </c>
      <c r="B290" s="1" t="s">
        <v>25</v>
      </c>
      <c r="C290" s="1" t="s">
        <v>1591</v>
      </c>
      <c r="D290" s="1" t="str">
        <f>Vlookup(C290,'Oil &amp; Gas Documents - Canada'!F:M,2,FALSE)</f>
        <v>#N/A</v>
      </c>
      <c r="E290" s="1" t="str">
        <f>Vlookup(C290,'Oil &amp; Gas Documents - Canada'!F:N,9,FALSE)</f>
        <v>#N/A</v>
      </c>
      <c r="F290" s="1" t="s">
        <v>1592</v>
      </c>
      <c r="G290" s="4" t="str">
        <f>HYPERLINK("http://nimonikapp.com/legislations/1530","http://nimonikapp.com/legislations/1530")</f>
        <v>http://nimonikapp.com/legislations/1530</v>
      </c>
      <c r="H290" s="1" t="s">
        <v>18</v>
      </c>
      <c r="I290" s="1" t="s">
        <v>1593</v>
      </c>
      <c r="J290" s="1" t="s">
        <v>1594</v>
      </c>
      <c r="K290" s="5">
        <v>44862.0</v>
      </c>
      <c r="L290" s="5">
        <v>44862.0</v>
      </c>
      <c r="M290" s="5">
        <v>44867.0</v>
      </c>
      <c r="N290" s="1" t="s">
        <v>1595</v>
      </c>
    </row>
    <row r="291" hidden="1">
      <c r="A291" s="1" t="s">
        <v>24</v>
      </c>
      <c r="B291" s="1" t="s">
        <v>15</v>
      </c>
      <c r="C291" s="1" t="s">
        <v>1596</v>
      </c>
      <c r="D291" s="1" t="str">
        <f>Vlookup(C291,'Oil &amp; Gas Documents - Canada'!F:M,2,FALSE)</f>
        <v>#N/A</v>
      </c>
      <c r="E291" s="1" t="str">
        <f>Vlookup(C291,'Oil &amp; Gas Documents - Canada'!F:N,9,FALSE)</f>
        <v>#N/A</v>
      </c>
      <c r="F291" s="1" t="s">
        <v>1597</v>
      </c>
      <c r="G291" s="4" t="str">
        <f>HYPERLINK("http://nimonikapp.com/legislations/379478","http://nimonikapp.com/legislations/379478")</f>
        <v>http://nimonikapp.com/legislations/379478</v>
      </c>
      <c r="H291" s="1" t="s">
        <v>69</v>
      </c>
      <c r="K291" s="5">
        <v>44862.0</v>
      </c>
      <c r="M291" s="5">
        <v>44866.0</v>
      </c>
    </row>
    <row r="292" hidden="1">
      <c r="A292" s="1" t="s">
        <v>73</v>
      </c>
      <c r="B292" s="1" t="s">
        <v>15</v>
      </c>
      <c r="C292" s="1" t="s">
        <v>1598</v>
      </c>
      <c r="D292" s="1" t="str">
        <f>Vlookup(C292,'Oil &amp; Gas Documents - Canada'!F:M,2,FALSE)</f>
        <v>#N/A</v>
      </c>
      <c r="E292" s="1" t="str">
        <f>Vlookup(C292,'Oil &amp; Gas Documents - Canada'!F:N,9,FALSE)</f>
        <v>#N/A</v>
      </c>
      <c r="F292" s="1" t="s">
        <v>1599</v>
      </c>
      <c r="G292" s="4" t="str">
        <f>HYPERLINK("http://nimonikapp.com/legislations/379473","http://nimonikapp.com/legislations/379473")</f>
        <v>http://nimonikapp.com/legislations/379473</v>
      </c>
      <c r="H292" s="1" t="s">
        <v>69</v>
      </c>
      <c r="K292" s="5">
        <v>44863.0</v>
      </c>
      <c r="M292" s="5">
        <v>44866.0</v>
      </c>
    </row>
    <row r="293" hidden="1">
      <c r="A293" s="1" t="s">
        <v>24</v>
      </c>
      <c r="B293" s="1" t="s">
        <v>15</v>
      </c>
      <c r="C293" s="1" t="s">
        <v>1600</v>
      </c>
      <c r="D293" s="1" t="str">
        <f>Vlookup(C293,'Oil &amp; Gas Documents - Canada'!F:M,2,FALSE)</f>
        <v>#N/A</v>
      </c>
      <c r="E293" s="1" t="str">
        <f>Vlookup(C293,'Oil &amp; Gas Documents - Canada'!F:N,9,FALSE)</f>
        <v>#N/A</v>
      </c>
      <c r="F293" s="1" t="s">
        <v>1601</v>
      </c>
      <c r="G293" s="4" t="str">
        <f>HYPERLINK("http://nimonikapp.com/legislations/378942","http://nimonikapp.com/legislations/378942")</f>
        <v>http://nimonikapp.com/legislations/378942</v>
      </c>
      <c r="H293" s="1" t="s">
        <v>69</v>
      </c>
      <c r="K293" s="5">
        <v>44859.0</v>
      </c>
      <c r="M293" s="5">
        <v>44862.0</v>
      </c>
    </row>
    <row r="294" hidden="1">
      <c r="A294" s="1" t="s">
        <v>66</v>
      </c>
      <c r="B294" s="1" t="s">
        <v>25</v>
      </c>
      <c r="C294" s="1" t="s">
        <v>1602</v>
      </c>
      <c r="D294" s="1" t="str">
        <f>Vlookup(C294,'Oil &amp; Gas Documents - Canada'!F:M,2,FALSE)</f>
        <v>#N/A</v>
      </c>
      <c r="E294" s="1" t="str">
        <f>Vlookup(C294,'Oil &amp; Gas Documents - Canada'!F:N,9,FALSE)</f>
        <v>#N/A</v>
      </c>
      <c r="F294" s="1" t="s">
        <v>1603</v>
      </c>
      <c r="G294" s="4" t="str">
        <f>HYPERLINK("http://nimonikapp.com/legislations/316049","http://nimonikapp.com/legislations/316049")</f>
        <v>http://nimonikapp.com/legislations/316049</v>
      </c>
      <c r="H294" s="1" t="s">
        <v>18</v>
      </c>
      <c r="I294" s="1" t="s">
        <v>1604</v>
      </c>
      <c r="J294" s="1" t="s">
        <v>1605</v>
      </c>
      <c r="K294" s="5">
        <v>44860.0</v>
      </c>
      <c r="M294" s="5">
        <v>44862.0</v>
      </c>
      <c r="N294" s="1" t="s">
        <v>1606</v>
      </c>
    </row>
    <row r="295" hidden="1">
      <c r="A295" s="1" t="s">
        <v>66</v>
      </c>
      <c r="B295" s="1" t="s">
        <v>25</v>
      </c>
      <c r="C295" s="1" t="s">
        <v>1607</v>
      </c>
      <c r="D295" s="1" t="str">
        <f>Vlookup(C295,'Oil &amp; Gas Documents - Canada'!F:M,2,FALSE)</f>
        <v>#N/A</v>
      </c>
      <c r="E295" s="1" t="str">
        <f>Vlookup(C295,'Oil &amp; Gas Documents - Canada'!F:N,9,FALSE)</f>
        <v>#N/A</v>
      </c>
      <c r="F295" s="1" t="s">
        <v>1608</v>
      </c>
      <c r="G295" s="4" t="str">
        <f>HYPERLINK("http://nimonikapp.com/legislations/1334","http://nimonikapp.com/legislations/1334")</f>
        <v>http://nimonikapp.com/legislations/1334</v>
      </c>
      <c r="H295" s="1" t="s">
        <v>18</v>
      </c>
      <c r="I295" s="1" t="s">
        <v>1609</v>
      </c>
      <c r="J295" s="1" t="s">
        <v>1610</v>
      </c>
      <c r="K295" s="5">
        <v>44858.0</v>
      </c>
      <c r="L295" s="5">
        <v>44858.0</v>
      </c>
      <c r="M295" s="5">
        <v>44862.0</v>
      </c>
      <c r="N295" s="1" t="s">
        <v>1611</v>
      </c>
    </row>
    <row r="296" hidden="1">
      <c r="A296" s="1" t="s">
        <v>66</v>
      </c>
      <c r="B296" s="1" t="s">
        <v>25</v>
      </c>
      <c r="C296" s="1" t="s">
        <v>1612</v>
      </c>
      <c r="D296" s="1" t="str">
        <f>Vlookup(C296,'Oil &amp; Gas Documents - Canada'!F:M,2,FALSE)</f>
        <v>#N/A</v>
      </c>
      <c r="E296" s="1" t="str">
        <f>Vlookup(C296,'Oil &amp; Gas Documents - Canada'!F:N,9,FALSE)</f>
        <v>#N/A</v>
      </c>
      <c r="F296" s="1" t="s">
        <v>1613</v>
      </c>
      <c r="G296" s="4" t="str">
        <f>HYPERLINK("http://nimonikapp.com/legislations/316168","http://nimonikapp.com/legislations/316168")</f>
        <v>http://nimonikapp.com/legislations/316168</v>
      </c>
      <c r="H296" s="1" t="s">
        <v>18</v>
      </c>
      <c r="I296" s="1" t="s">
        <v>1614</v>
      </c>
      <c r="J296" s="1" t="s">
        <v>1615</v>
      </c>
      <c r="K296" s="5">
        <v>44858.0</v>
      </c>
      <c r="L296" s="5">
        <v>44896.0</v>
      </c>
      <c r="M296" s="5">
        <v>44862.0</v>
      </c>
      <c r="N296" s="1" t="s">
        <v>1616</v>
      </c>
    </row>
    <row r="297" hidden="1">
      <c r="A297" s="1" t="s">
        <v>24</v>
      </c>
      <c r="B297" s="1" t="s">
        <v>25</v>
      </c>
      <c r="C297" s="1" t="s">
        <v>1617</v>
      </c>
      <c r="D297" s="1" t="str">
        <f>Vlookup(C297,'Oil &amp; Gas Documents - Canada'!F:M,2,FALSE)</f>
        <v>#N/A</v>
      </c>
      <c r="E297" s="1" t="str">
        <f>Vlookup(C297,'Oil &amp; Gas Documents - Canada'!F:N,9,FALSE)</f>
        <v>#N/A</v>
      </c>
      <c r="F297" s="1" t="s">
        <v>1618</v>
      </c>
      <c r="G297" s="4" t="str">
        <f>HYPERLINK("http://nimonikapp.com/legislations/1247","http://nimonikapp.com/legislations/1247")</f>
        <v>http://nimonikapp.com/legislations/1247</v>
      </c>
      <c r="H297" s="1" t="s">
        <v>18</v>
      </c>
      <c r="I297" s="1" t="s">
        <v>1619</v>
      </c>
      <c r="J297" s="1" t="s">
        <v>1620</v>
      </c>
      <c r="K297" s="5">
        <v>44859.0</v>
      </c>
      <c r="L297" s="5">
        <v>44858.0</v>
      </c>
      <c r="M297" s="5">
        <v>44862.0</v>
      </c>
      <c r="N297" s="1" t="s">
        <v>1621</v>
      </c>
    </row>
    <row r="298" hidden="1">
      <c r="A298" s="1" t="s">
        <v>73</v>
      </c>
      <c r="B298" s="1" t="s">
        <v>25</v>
      </c>
      <c r="C298" s="1" t="s">
        <v>1033</v>
      </c>
      <c r="D298" s="1" t="str">
        <f>Vlookup(C298,'Oil &amp; Gas Documents - Canada'!F:M,2,FALSE)</f>
        <v>#N/A</v>
      </c>
      <c r="E298" s="1" t="str">
        <f>Vlookup(C298,'Oil &amp; Gas Documents - Canada'!F:N,9,FALSE)</f>
        <v>#N/A</v>
      </c>
      <c r="F298" s="1" t="s">
        <v>1034</v>
      </c>
      <c r="G298" s="4" t="str">
        <f t="shared" ref="G298:G299" si="7">HYPERLINK("http://nimonikapp.com/legislations/895","http://nimonikapp.com/legislations/895")</f>
        <v>http://nimonikapp.com/legislations/895</v>
      </c>
      <c r="H298" s="1" t="s">
        <v>18</v>
      </c>
      <c r="I298" s="1" t="s">
        <v>1622</v>
      </c>
      <c r="J298" s="1" t="s">
        <v>1623</v>
      </c>
      <c r="K298" s="5">
        <v>44860.0</v>
      </c>
      <c r="L298" s="5">
        <v>44838.0</v>
      </c>
      <c r="M298" s="5">
        <v>44861.0</v>
      </c>
      <c r="N298" s="1" t="s">
        <v>1037</v>
      </c>
    </row>
    <row r="299" hidden="1">
      <c r="A299" s="1" t="s">
        <v>73</v>
      </c>
      <c r="B299" s="1" t="s">
        <v>25</v>
      </c>
      <c r="C299" s="1" t="s">
        <v>1033</v>
      </c>
      <c r="D299" s="1" t="str">
        <f>Vlookup(C299,'Oil &amp; Gas Documents - Canada'!F:M,2,FALSE)</f>
        <v>#N/A</v>
      </c>
      <c r="E299" s="1" t="str">
        <f>Vlookup(C299,'Oil &amp; Gas Documents - Canada'!F:N,9,FALSE)</f>
        <v>#N/A</v>
      </c>
      <c r="F299" s="1" t="s">
        <v>1034</v>
      </c>
      <c r="G299" s="4" t="str">
        <f t="shared" si="7"/>
        <v>http://nimonikapp.com/legislations/895</v>
      </c>
      <c r="H299" s="1" t="s">
        <v>18</v>
      </c>
      <c r="I299" s="1" t="s">
        <v>1624</v>
      </c>
      <c r="J299" s="1" t="s">
        <v>1625</v>
      </c>
      <c r="K299" s="5">
        <v>44860.0</v>
      </c>
      <c r="L299" s="5">
        <v>44838.0</v>
      </c>
      <c r="M299" s="5">
        <v>44861.0</v>
      </c>
      <c r="N299" s="1" t="s">
        <v>1037</v>
      </c>
    </row>
    <row r="300">
      <c r="A300" s="1" t="s">
        <v>73</v>
      </c>
      <c r="B300" s="1" t="s">
        <v>25</v>
      </c>
      <c r="C300" s="1" t="s">
        <v>170</v>
      </c>
      <c r="D300" s="1" t="s">
        <v>26</v>
      </c>
      <c r="E300" s="1" t="str">
        <f>Vlookup(C300,'Oil &amp; Gas Documents - Canada'!F:N,9,FALSE)</f>
        <v>#N/A</v>
      </c>
      <c r="F300" s="1" t="s">
        <v>169</v>
      </c>
      <c r="G300" s="4" t="str">
        <f>HYPERLINK("http://nimonikapp.com/legislations/100784","http://nimonikapp.com/legislations/100784")</f>
        <v>http://nimonikapp.com/legislations/100784</v>
      </c>
      <c r="H300" s="1" t="s">
        <v>18</v>
      </c>
      <c r="I300" s="1" t="s">
        <v>172</v>
      </c>
      <c r="J300" s="1" t="s">
        <v>173</v>
      </c>
      <c r="K300" s="5">
        <v>44860.0</v>
      </c>
      <c r="L300" s="5">
        <v>44927.0</v>
      </c>
      <c r="M300" s="5">
        <v>44861.0</v>
      </c>
      <c r="N300" s="1" t="s">
        <v>171</v>
      </c>
    </row>
    <row r="301" hidden="1">
      <c r="A301" s="1" t="s">
        <v>73</v>
      </c>
      <c r="B301" s="1" t="s">
        <v>25</v>
      </c>
      <c r="C301" s="1" t="s">
        <v>1050</v>
      </c>
      <c r="D301" s="1" t="str">
        <f>Vlookup(C301,'Oil &amp; Gas Documents - Canada'!F:M,2,FALSE)</f>
        <v>#N/A</v>
      </c>
      <c r="E301" s="1" t="str">
        <f>Vlookup(C301,'Oil &amp; Gas Documents - Canada'!F:N,9,FALSE)</f>
        <v>#N/A</v>
      </c>
      <c r="F301" s="1" t="s">
        <v>1051</v>
      </c>
      <c r="G301" s="4" t="str">
        <f>HYPERLINK("http://nimonikapp.com/legislations/321960","http://nimonikapp.com/legislations/321960")</f>
        <v>http://nimonikapp.com/legislations/321960</v>
      </c>
      <c r="H301" s="1" t="s">
        <v>18</v>
      </c>
      <c r="I301" s="1" t="s">
        <v>1626</v>
      </c>
      <c r="J301" s="1" t="s">
        <v>1053</v>
      </c>
      <c r="K301" s="5">
        <v>44860.0</v>
      </c>
      <c r="L301" s="5">
        <v>44845.0</v>
      </c>
      <c r="M301" s="5">
        <v>44861.0</v>
      </c>
      <c r="N301" s="1" t="s">
        <v>1054</v>
      </c>
    </row>
    <row r="302">
      <c r="A302" s="1" t="s">
        <v>73</v>
      </c>
      <c r="B302" s="1" t="s">
        <v>25</v>
      </c>
      <c r="C302" s="1" t="s">
        <v>170</v>
      </c>
      <c r="D302" s="1" t="s">
        <v>26</v>
      </c>
      <c r="E302" s="1" t="str">
        <f>Vlookup(C302,'Oil &amp; Gas Documents - Canada'!F:N,9,FALSE)</f>
        <v>#N/A</v>
      </c>
      <c r="F302" s="1" t="s">
        <v>169</v>
      </c>
      <c r="G302" s="4" t="str">
        <f>HYPERLINK("http://nimonikapp.com/legislations/100784","http://nimonikapp.com/legislations/100784")</f>
        <v>http://nimonikapp.com/legislations/100784</v>
      </c>
      <c r="H302" s="1" t="s">
        <v>18</v>
      </c>
      <c r="I302" s="1" t="s">
        <v>174</v>
      </c>
      <c r="J302" s="1" t="s">
        <v>175</v>
      </c>
      <c r="K302" s="5">
        <v>44860.0</v>
      </c>
      <c r="L302" s="5">
        <v>44845.0</v>
      </c>
      <c r="M302" s="5">
        <v>44861.0</v>
      </c>
      <c r="N302" s="1" t="s">
        <v>171</v>
      </c>
    </row>
    <row r="303" hidden="1">
      <c r="A303" s="1" t="s">
        <v>73</v>
      </c>
      <c r="B303" s="1" t="s">
        <v>25</v>
      </c>
      <c r="C303" s="1" t="s">
        <v>1066</v>
      </c>
      <c r="D303" s="1" t="str">
        <f>Vlookup(C303,'Oil &amp; Gas Documents - Canada'!F:M,2,FALSE)</f>
        <v>#N/A</v>
      </c>
      <c r="E303" s="1" t="str">
        <f>Vlookup(C303,'Oil &amp; Gas Documents - Canada'!F:N,9,FALSE)</f>
        <v>#N/A</v>
      </c>
      <c r="F303" s="1" t="s">
        <v>1067</v>
      </c>
      <c r="G303" s="4" t="str">
        <f>HYPERLINK("http://nimonikapp.com/legislations/786","http://nimonikapp.com/legislations/786")</f>
        <v>http://nimonikapp.com/legislations/786</v>
      </c>
      <c r="H303" s="1" t="s">
        <v>18</v>
      </c>
      <c r="I303" s="1" t="s">
        <v>1627</v>
      </c>
      <c r="J303" s="1" t="s">
        <v>1628</v>
      </c>
      <c r="K303" s="5">
        <v>44860.0</v>
      </c>
      <c r="M303" s="5">
        <v>44861.0</v>
      </c>
      <c r="N303" s="1" t="s">
        <v>1068</v>
      </c>
    </row>
    <row r="304" hidden="1">
      <c r="A304" s="1" t="s">
        <v>73</v>
      </c>
      <c r="B304" s="1" t="s">
        <v>25</v>
      </c>
      <c r="C304" s="1" t="s">
        <v>1045</v>
      </c>
      <c r="D304" s="1" t="str">
        <f>Vlookup(C304,'Oil &amp; Gas Documents - Canada'!F:M,2,FALSE)</f>
        <v>#N/A</v>
      </c>
      <c r="E304" s="1" t="str">
        <f>Vlookup(C304,'Oil &amp; Gas Documents - Canada'!F:N,9,FALSE)</f>
        <v>#N/A</v>
      </c>
      <c r="F304" s="1" t="s">
        <v>1046</v>
      </c>
      <c r="G304" s="4" t="str">
        <f>HYPERLINK("http://nimonikapp.com/legislations/321966","http://nimonikapp.com/legislations/321966")</f>
        <v>http://nimonikapp.com/legislations/321966</v>
      </c>
      <c r="H304" s="1" t="s">
        <v>18</v>
      </c>
      <c r="I304" s="1" t="s">
        <v>1629</v>
      </c>
      <c r="J304" s="1" t="s">
        <v>1048</v>
      </c>
      <c r="K304" s="5">
        <v>44860.0</v>
      </c>
      <c r="L304" s="5">
        <v>44848.0</v>
      </c>
      <c r="M304" s="5">
        <v>44861.0</v>
      </c>
      <c r="N304" s="1" t="s">
        <v>1049</v>
      </c>
    </row>
    <row r="305" hidden="1">
      <c r="A305" s="1" t="s">
        <v>73</v>
      </c>
      <c r="B305" s="1" t="s">
        <v>364</v>
      </c>
      <c r="C305" s="1" t="s">
        <v>1630</v>
      </c>
      <c r="D305" s="1" t="str">
        <f>Vlookup(C305,'Oil &amp; Gas Documents - Canada'!F:M,2,FALSE)</f>
        <v>#N/A</v>
      </c>
      <c r="E305" s="1" t="str">
        <f>Vlookup(C305,'Oil &amp; Gas Documents - Canada'!F:N,9,FALSE)</f>
        <v>#N/A</v>
      </c>
      <c r="F305" s="1" t="s">
        <v>1631</v>
      </c>
      <c r="G305" s="4" t="str">
        <f>HYPERLINK("http://nimonikapp.com/legislations/338791","http://nimonikapp.com/legislations/338791")</f>
        <v>http://nimonikapp.com/legislations/338791</v>
      </c>
      <c r="H305" s="1" t="s">
        <v>356</v>
      </c>
      <c r="I305" s="1" t="s">
        <v>1632</v>
      </c>
      <c r="J305" s="1" t="s">
        <v>1633</v>
      </c>
      <c r="K305" s="5">
        <v>44860.0</v>
      </c>
      <c r="L305" s="5">
        <v>44841.0</v>
      </c>
      <c r="M305" s="5">
        <v>44861.0</v>
      </c>
      <c r="N305" s="1" t="s">
        <v>1634</v>
      </c>
    </row>
    <row r="306" hidden="1">
      <c r="A306" s="1" t="s">
        <v>73</v>
      </c>
      <c r="B306" s="1" t="s">
        <v>25</v>
      </c>
      <c r="C306" s="1" t="s">
        <v>1635</v>
      </c>
      <c r="D306" s="1" t="str">
        <f>Vlookup(C306,'Oil &amp; Gas Documents - Canada'!F:M,2,FALSE)</f>
        <v>#N/A</v>
      </c>
      <c r="E306" s="1" t="str">
        <f>Vlookup(C306,'Oil &amp; Gas Documents - Canada'!F:N,9,FALSE)</f>
        <v>#N/A</v>
      </c>
      <c r="F306" s="1" t="s">
        <v>1636</v>
      </c>
      <c r="G306" s="4" t="str">
        <f>HYPERLINK("http://nimonikapp.com/legislations/321590","http://nimonikapp.com/legislations/321590")</f>
        <v>http://nimonikapp.com/legislations/321590</v>
      </c>
      <c r="H306" s="1" t="s">
        <v>18</v>
      </c>
      <c r="I306" s="1" t="s">
        <v>1632</v>
      </c>
      <c r="J306" s="1" t="s">
        <v>1633</v>
      </c>
      <c r="K306" s="5">
        <v>44860.0</v>
      </c>
      <c r="L306" s="5">
        <v>44841.0</v>
      </c>
      <c r="M306" s="5">
        <v>44861.0</v>
      </c>
      <c r="N306" s="1" t="s">
        <v>1637</v>
      </c>
    </row>
    <row r="307" hidden="1">
      <c r="A307" s="1" t="s">
        <v>73</v>
      </c>
      <c r="B307" s="1" t="s">
        <v>25</v>
      </c>
      <c r="C307" s="1" t="s">
        <v>1069</v>
      </c>
      <c r="D307" s="1" t="str">
        <f>Vlookup(C307,'Oil &amp; Gas Documents - Canada'!F:M,2,FALSE)</f>
        <v>#N/A</v>
      </c>
      <c r="E307" s="1" t="str">
        <f>Vlookup(C307,'Oil &amp; Gas Documents - Canada'!F:N,9,FALSE)</f>
        <v>#N/A</v>
      </c>
      <c r="F307" s="1" t="s">
        <v>1070</v>
      </c>
      <c r="G307" s="4" t="str">
        <f>HYPERLINK("http://nimonikapp.com/legislations/897","http://nimonikapp.com/legislations/897")</f>
        <v>http://nimonikapp.com/legislations/897</v>
      </c>
      <c r="H307" s="1" t="s">
        <v>18</v>
      </c>
      <c r="I307" s="1" t="s">
        <v>1638</v>
      </c>
      <c r="J307" s="1" t="s">
        <v>1639</v>
      </c>
      <c r="K307" s="5">
        <v>44842.0</v>
      </c>
      <c r="L307" s="5">
        <v>44838.0</v>
      </c>
      <c r="M307" s="5">
        <v>44860.0</v>
      </c>
      <c r="N307" s="1" t="s">
        <v>1073</v>
      </c>
    </row>
    <row r="308" hidden="1">
      <c r="A308" s="1" t="s">
        <v>53</v>
      </c>
      <c r="B308" s="1" t="s">
        <v>15</v>
      </c>
      <c r="C308" s="1" t="s">
        <v>1640</v>
      </c>
      <c r="D308" s="1" t="str">
        <f>Vlookup(C308,'Oil &amp; Gas Documents - Canada'!F:M,2,FALSE)</f>
        <v>#N/A</v>
      </c>
      <c r="E308" s="1" t="str">
        <f>Vlookup(C308,'Oil &amp; Gas Documents - Canada'!F:N,9,FALSE)</f>
        <v>#N/A</v>
      </c>
      <c r="F308" s="1" t="s">
        <v>1641</v>
      </c>
      <c r="G308" s="4" t="str">
        <f>HYPERLINK("http://nimonikapp.com/legislations/377992","http://nimonikapp.com/legislations/377992")</f>
        <v>http://nimonikapp.com/legislations/377992</v>
      </c>
      <c r="H308" s="1" t="s">
        <v>69</v>
      </c>
      <c r="K308" s="5">
        <v>44852.0</v>
      </c>
      <c r="M308" s="5">
        <v>44859.0</v>
      </c>
    </row>
    <row r="309" hidden="1">
      <c r="A309" s="1" t="s">
        <v>14</v>
      </c>
      <c r="B309" s="1" t="s">
        <v>25</v>
      </c>
      <c r="C309" s="1" t="s">
        <v>1642</v>
      </c>
      <c r="D309" s="1" t="str">
        <f>Vlookup(C309,'Oil &amp; Gas Documents - Canada'!F:M,2,FALSE)</f>
        <v>#N/A</v>
      </c>
      <c r="E309" s="1" t="str">
        <f>Vlookup(C309,'Oil &amp; Gas Documents - Canada'!F:N,9,FALSE)</f>
        <v>#N/A</v>
      </c>
      <c r="F309" s="1" t="s">
        <v>1643</v>
      </c>
      <c r="G309" s="4" t="str">
        <f>HYPERLINK("http://nimonikapp.com/legislations/15290","http://nimonikapp.com/legislations/15290")</f>
        <v>http://nimonikapp.com/legislations/15290</v>
      </c>
      <c r="H309" s="1" t="s">
        <v>18</v>
      </c>
      <c r="I309" s="1" t="s">
        <v>1644</v>
      </c>
      <c r="J309" s="1" t="s">
        <v>1645</v>
      </c>
      <c r="M309" s="5">
        <v>44859.0</v>
      </c>
    </row>
    <row r="310">
      <c r="A310" s="1" t="s">
        <v>14</v>
      </c>
      <c r="B310" s="1" t="s">
        <v>25</v>
      </c>
      <c r="C310" s="1" t="s">
        <v>177</v>
      </c>
      <c r="D310" s="1" t="str">
        <f>Vlookup(C310,'Oil &amp; Gas Documents - Canada'!F:M,2,FALSE)</f>
        <v>oil_and_gas</v>
      </c>
      <c r="E310" s="1" t="str">
        <f>Vlookup(C310,'Oil &amp; Gas Documents - Canada'!F:N,9,FALSE)</f>
        <v/>
      </c>
      <c r="F310" s="1" t="s">
        <v>176</v>
      </c>
      <c r="G310" s="4" t="str">
        <f>HYPERLINK("http://nimonikapp.com/legislations/115693","http://nimonikapp.com/legislations/115693")</f>
        <v>http://nimonikapp.com/legislations/115693</v>
      </c>
      <c r="H310" s="1" t="s">
        <v>18</v>
      </c>
      <c r="I310" s="1" t="s">
        <v>179</v>
      </c>
      <c r="J310" s="1" t="s">
        <v>180</v>
      </c>
      <c r="K310" s="5">
        <v>44713.0</v>
      </c>
      <c r="M310" s="5">
        <v>44859.0</v>
      </c>
      <c r="N310" s="1" t="s">
        <v>178</v>
      </c>
    </row>
    <row r="311">
      <c r="A311" s="1" t="s">
        <v>14</v>
      </c>
      <c r="B311" s="1" t="s">
        <v>25</v>
      </c>
      <c r="C311" s="1" t="s">
        <v>182</v>
      </c>
      <c r="D311" s="1" t="str">
        <f>Vlookup(C311,'Oil &amp; Gas Documents - Canada'!F:M,2,FALSE)</f>
        <v>oil_and_gas</v>
      </c>
      <c r="E311" s="1" t="str">
        <f>Vlookup(C311,'Oil &amp; Gas Documents - Canada'!F:N,9,FALSE)</f>
        <v/>
      </c>
      <c r="F311" s="1" t="s">
        <v>181</v>
      </c>
      <c r="G311" s="4" t="str">
        <f>HYPERLINK("http://nimonikapp.com/legislations/157253","http://nimonikapp.com/legislations/157253")</f>
        <v>http://nimonikapp.com/legislations/157253</v>
      </c>
      <c r="H311" s="1" t="s">
        <v>18</v>
      </c>
      <c r="I311" s="1" t="s">
        <v>184</v>
      </c>
      <c r="J311" s="1" t="s">
        <v>185</v>
      </c>
      <c r="K311" s="5">
        <v>44713.0</v>
      </c>
      <c r="M311" s="5">
        <v>44859.0</v>
      </c>
      <c r="N311" s="1" t="s">
        <v>183</v>
      </c>
    </row>
    <row r="312">
      <c r="A312" s="1" t="s">
        <v>14</v>
      </c>
      <c r="B312" s="1" t="s">
        <v>25</v>
      </c>
      <c r="C312" s="1" t="s">
        <v>187</v>
      </c>
      <c r="D312" s="1" t="str">
        <f>Vlookup(C312,'Oil &amp; Gas Documents - Canada'!F:M,2,FALSE)</f>
        <v>oil_and_gas</v>
      </c>
      <c r="E312" s="1" t="str">
        <f>Vlookup(C312,'Oil &amp; Gas Documents - Canada'!F:N,9,FALSE)</f>
        <v/>
      </c>
      <c r="F312" s="1" t="s">
        <v>186</v>
      </c>
      <c r="G312" s="4" t="str">
        <f>HYPERLINK("http://nimonikapp.com/legislations/129724","http://nimonikapp.com/legislations/129724")</f>
        <v>http://nimonikapp.com/legislations/129724</v>
      </c>
      <c r="H312" s="1" t="s">
        <v>18</v>
      </c>
      <c r="I312" s="1" t="s">
        <v>189</v>
      </c>
      <c r="J312" s="1" t="s">
        <v>190</v>
      </c>
      <c r="K312" s="5">
        <v>44774.0</v>
      </c>
      <c r="M312" s="5">
        <v>44859.0</v>
      </c>
      <c r="N312" s="1" t="s">
        <v>188</v>
      </c>
    </row>
    <row r="313" hidden="1">
      <c r="A313" s="1" t="s">
        <v>53</v>
      </c>
      <c r="B313" s="1" t="s">
        <v>15</v>
      </c>
      <c r="C313" s="1" t="s">
        <v>1646</v>
      </c>
      <c r="D313" s="1" t="str">
        <f>Vlookup(C313,'Oil &amp; Gas Documents - Canada'!F:M,2,FALSE)</f>
        <v>#N/A</v>
      </c>
      <c r="E313" s="1" t="str">
        <f>Vlookup(C313,'Oil &amp; Gas Documents - Canada'!F:N,9,FALSE)</f>
        <v>#N/A</v>
      </c>
      <c r="F313" s="1" t="s">
        <v>1647</v>
      </c>
      <c r="G313" s="4" t="str">
        <f>HYPERLINK("http://nimonikapp.com/legislations/377607","http://nimonikapp.com/legislations/377607")</f>
        <v>http://nimonikapp.com/legislations/377607</v>
      </c>
      <c r="H313" s="1" t="s">
        <v>69</v>
      </c>
      <c r="K313" s="5">
        <v>44852.0</v>
      </c>
      <c r="M313" s="5">
        <v>44858.0</v>
      </c>
    </row>
    <row r="314" hidden="1">
      <c r="A314" s="1" t="s">
        <v>73</v>
      </c>
      <c r="B314" s="1" t="s">
        <v>352</v>
      </c>
      <c r="C314" s="1" t="s">
        <v>1648</v>
      </c>
      <c r="D314" s="1" t="str">
        <f>Vlookup(C314,'Oil &amp; Gas Documents - Canada'!F:M,2,FALSE)</f>
        <v>#N/A</v>
      </c>
      <c r="E314" s="1" t="str">
        <f>Vlookup(C314,'Oil &amp; Gas Documents - Canada'!F:N,9,FALSE)</f>
        <v>#N/A</v>
      </c>
      <c r="F314" s="1" t="s">
        <v>1649</v>
      </c>
      <c r="G314" s="4" t="str">
        <f>HYPERLINK("http://nimonikapp.com/legislations/357982","http://nimonikapp.com/legislations/357982")</f>
        <v>http://nimonikapp.com/legislations/357982</v>
      </c>
      <c r="H314" s="1" t="s">
        <v>356</v>
      </c>
      <c r="I314" s="1" t="s">
        <v>1650</v>
      </c>
      <c r="J314" s="1" t="s">
        <v>1651</v>
      </c>
      <c r="K314" s="5">
        <v>44856.0</v>
      </c>
      <c r="L314" s="5">
        <v>44834.0</v>
      </c>
      <c r="M314" s="5">
        <v>44858.0</v>
      </c>
      <c r="N314" s="1" t="s">
        <v>1652</v>
      </c>
    </row>
    <row r="315" hidden="1">
      <c r="A315" s="1" t="s">
        <v>73</v>
      </c>
      <c r="B315" s="1" t="s">
        <v>25</v>
      </c>
      <c r="C315" s="1" t="s">
        <v>1066</v>
      </c>
      <c r="D315" s="1" t="str">
        <f>Vlookup(C315,'Oil &amp; Gas Documents - Canada'!F:M,2,FALSE)</f>
        <v>#N/A</v>
      </c>
      <c r="E315" s="1" t="str">
        <f>Vlookup(C315,'Oil &amp; Gas Documents - Canada'!F:N,9,FALSE)</f>
        <v>#N/A</v>
      </c>
      <c r="F315" s="1" t="s">
        <v>1067</v>
      </c>
      <c r="G315" s="4" t="str">
        <f>HYPERLINK("http://nimonikapp.com/legislations/786","http://nimonikapp.com/legislations/786")</f>
        <v>http://nimonikapp.com/legislations/786</v>
      </c>
      <c r="H315" s="1" t="s">
        <v>18</v>
      </c>
      <c r="I315" s="1" t="s">
        <v>1653</v>
      </c>
      <c r="J315" s="1" t="s">
        <v>1654</v>
      </c>
      <c r="K315" s="5">
        <v>44852.0</v>
      </c>
      <c r="L315" s="5">
        <v>44942.0</v>
      </c>
      <c r="M315" s="5">
        <v>44854.0</v>
      </c>
      <c r="N315" s="1" t="s">
        <v>1068</v>
      </c>
    </row>
    <row r="316" hidden="1">
      <c r="A316" s="1" t="s">
        <v>73</v>
      </c>
      <c r="B316" s="1" t="s">
        <v>25</v>
      </c>
      <c r="C316" s="1" t="s">
        <v>1082</v>
      </c>
      <c r="D316" s="1" t="str">
        <f>Vlookup(C316,'Oil &amp; Gas Documents - Canada'!F:M,2,FALSE)</f>
        <v>#N/A</v>
      </c>
      <c r="E316" s="1" t="str">
        <f>Vlookup(C316,'Oil &amp; Gas Documents - Canada'!F:N,9,FALSE)</f>
        <v>#N/A</v>
      </c>
      <c r="F316" s="1" t="s">
        <v>1083</v>
      </c>
      <c r="G316" s="4" t="str">
        <f>HYPERLINK("http://nimonikapp.com/legislations/319402","http://nimonikapp.com/legislations/319402")</f>
        <v>http://nimonikapp.com/legislations/319402</v>
      </c>
      <c r="H316" s="1" t="s">
        <v>18</v>
      </c>
      <c r="I316" s="1" t="s">
        <v>1655</v>
      </c>
      <c r="J316" s="1" t="s">
        <v>1656</v>
      </c>
      <c r="K316" s="5">
        <v>44852.0</v>
      </c>
      <c r="L316" s="5">
        <v>44852.0</v>
      </c>
      <c r="M316" s="5">
        <v>44854.0</v>
      </c>
      <c r="N316" s="1" t="s">
        <v>1084</v>
      </c>
    </row>
    <row r="317">
      <c r="A317" s="1" t="s">
        <v>21</v>
      </c>
      <c r="B317" s="1" t="s">
        <v>25</v>
      </c>
      <c r="C317" s="1" t="s">
        <v>137</v>
      </c>
      <c r="D317" s="1" t="str">
        <f>Vlookup(C317,'Oil &amp; Gas Documents - Canada'!F:M,2,FALSE)</f>
        <v>oil_and_gas</v>
      </c>
      <c r="E317" s="1" t="str">
        <f>Vlookup(C317,'Oil &amp; Gas Documents - Canada'!F:N,9,FALSE)</f>
        <v/>
      </c>
      <c r="F317" s="1" t="s">
        <v>136</v>
      </c>
      <c r="G317" s="4" t="str">
        <f>HYPERLINK("http://nimonikapp.com/legislations/284609","http://nimonikapp.com/legislations/284609")</f>
        <v>http://nimonikapp.com/legislations/284609</v>
      </c>
      <c r="H317" s="1" t="s">
        <v>18</v>
      </c>
      <c r="I317" s="1" t="s">
        <v>191</v>
      </c>
      <c r="J317" s="1" t="s">
        <v>192</v>
      </c>
      <c r="K317" s="5">
        <v>44853.0</v>
      </c>
      <c r="L317" s="5">
        <v>44853.0</v>
      </c>
      <c r="M317" s="5">
        <v>44854.0</v>
      </c>
      <c r="N317" s="1" t="s">
        <v>138</v>
      </c>
    </row>
    <row r="318">
      <c r="A318" s="1" t="s">
        <v>21</v>
      </c>
      <c r="B318" s="1" t="s">
        <v>25</v>
      </c>
      <c r="C318" s="1" t="s">
        <v>194</v>
      </c>
      <c r="D318" s="1" t="str">
        <f>Vlookup(C318,'Oil &amp; Gas Documents - Canada'!F:M,2,FALSE)</f>
        <v>oil_and_gas</v>
      </c>
      <c r="E318" s="1" t="str">
        <f>Vlookup(C318,'Oil &amp; Gas Documents - Canada'!F:N,9,FALSE)</f>
        <v/>
      </c>
      <c r="F318" s="1" t="s">
        <v>193</v>
      </c>
      <c r="G318" s="4" t="str">
        <f>HYPERLINK("http://nimonikapp.com/legislations/4042","http://nimonikapp.com/legislations/4042")</f>
        <v>http://nimonikapp.com/legislations/4042</v>
      </c>
      <c r="H318" s="1" t="s">
        <v>18</v>
      </c>
      <c r="I318" s="1" t="s">
        <v>191</v>
      </c>
      <c r="J318" s="1" t="s">
        <v>192</v>
      </c>
      <c r="K318" s="5">
        <v>44853.0</v>
      </c>
      <c r="L318" s="5">
        <v>44853.0</v>
      </c>
      <c r="M318" s="5">
        <v>44854.0</v>
      </c>
      <c r="N318" s="1" t="s">
        <v>195</v>
      </c>
    </row>
    <row r="319">
      <c r="A319" s="1" t="s">
        <v>21</v>
      </c>
      <c r="B319" s="1" t="s">
        <v>25</v>
      </c>
      <c r="C319" s="1" t="s">
        <v>197</v>
      </c>
      <c r="D319" s="1" t="str">
        <f>Vlookup(C319,'Oil &amp; Gas Documents - Canada'!F:M,2,FALSE)</f>
        <v>oil_and_gas</v>
      </c>
      <c r="E319" s="1" t="str">
        <f>Vlookup(C319,'Oil &amp; Gas Documents - Canada'!F:N,9,FALSE)</f>
        <v/>
      </c>
      <c r="F319" s="1" t="s">
        <v>196</v>
      </c>
      <c r="G319" s="4" t="str">
        <f>HYPERLINK("http://nimonikapp.com/legislations/4039","http://nimonikapp.com/legislations/4039")</f>
        <v>http://nimonikapp.com/legislations/4039</v>
      </c>
      <c r="H319" s="1" t="s">
        <v>18</v>
      </c>
      <c r="I319" s="1" t="s">
        <v>191</v>
      </c>
      <c r="J319" s="1" t="s">
        <v>192</v>
      </c>
      <c r="K319" s="5">
        <v>44853.0</v>
      </c>
      <c r="L319" s="5">
        <v>44853.0</v>
      </c>
      <c r="M319" s="5">
        <v>44854.0</v>
      </c>
      <c r="N319" s="1" t="s">
        <v>198</v>
      </c>
    </row>
    <row r="320">
      <c r="A320" s="1" t="s">
        <v>21</v>
      </c>
      <c r="B320" s="1" t="s">
        <v>25</v>
      </c>
      <c r="C320" s="1" t="s">
        <v>200</v>
      </c>
      <c r="D320" s="1" t="str">
        <f>Vlookup(C320,'Oil &amp; Gas Documents - Canada'!F:M,2,FALSE)</f>
        <v>oil_and_gas</v>
      </c>
      <c r="E320" s="1" t="str">
        <f>Vlookup(C320,'Oil &amp; Gas Documents - Canada'!F:N,9,FALSE)</f>
        <v/>
      </c>
      <c r="F320" s="1" t="s">
        <v>199</v>
      </c>
      <c r="G320" s="4" t="str">
        <f>HYPERLINK("http://nimonikapp.com/legislations/113529","http://nimonikapp.com/legislations/113529")</f>
        <v>http://nimonikapp.com/legislations/113529</v>
      </c>
      <c r="H320" s="1" t="s">
        <v>18</v>
      </c>
      <c r="I320" s="1" t="s">
        <v>191</v>
      </c>
      <c r="J320" s="1" t="s">
        <v>192</v>
      </c>
      <c r="K320" s="5">
        <v>44853.0</v>
      </c>
      <c r="L320" s="5">
        <v>44853.0</v>
      </c>
      <c r="M320" s="5">
        <v>44854.0</v>
      </c>
      <c r="N320" s="1" t="s">
        <v>201</v>
      </c>
    </row>
    <row r="321" hidden="1">
      <c r="A321" s="1" t="s">
        <v>1105</v>
      </c>
      <c r="B321" s="1" t="s">
        <v>15</v>
      </c>
      <c r="C321" s="1" t="s">
        <v>1657</v>
      </c>
      <c r="D321" s="1" t="str">
        <f>Vlookup(C321,'Oil &amp; Gas Documents - Canada'!F:M,2,FALSE)</f>
        <v>#N/A</v>
      </c>
      <c r="E321" s="1" t="str">
        <f>Vlookup(C321,'Oil &amp; Gas Documents - Canada'!F:N,9,FALSE)</f>
        <v>#N/A</v>
      </c>
      <c r="F321" s="1" t="s">
        <v>1658</v>
      </c>
      <c r="G321" s="4" t="str">
        <f>HYPERLINK("http://nimonikapp.com/legislations/376891","http://nimonikapp.com/legislations/376891")</f>
        <v>http://nimonikapp.com/legislations/376891</v>
      </c>
      <c r="H321" s="1" t="s">
        <v>69</v>
      </c>
      <c r="K321" s="5">
        <v>44847.0</v>
      </c>
      <c r="M321" s="5">
        <v>44853.0</v>
      </c>
    </row>
    <row r="322">
      <c r="A322" s="1" t="s">
        <v>202</v>
      </c>
      <c r="B322" s="1" t="s">
        <v>25</v>
      </c>
      <c r="C322" s="1" t="s">
        <v>204</v>
      </c>
      <c r="D322" s="1" t="s">
        <v>26</v>
      </c>
      <c r="E322" s="1" t="str">
        <f>Vlookup(C322,'Oil &amp; Gas Documents - Canada'!F:N,9,FALSE)</f>
        <v>#N/A</v>
      </c>
      <c r="F322" s="1" t="s">
        <v>203</v>
      </c>
      <c r="G322" s="4" t="str">
        <f>HYPERLINK("http://nimonikapp.com/legislations/268535","http://nimonikapp.com/legislations/268535")</f>
        <v>http://nimonikapp.com/legislations/268535</v>
      </c>
      <c r="H322" s="1" t="s">
        <v>18</v>
      </c>
      <c r="I322" s="1" t="s">
        <v>206</v>
      </c>
      <c r="J322" s="1" t="s">
        <v>207</v>
      </c>
      <c r="K322" s="5">
        <v>44853.0</v>
      </c>
      <c r="L322" s="5">
        <v>44713.0</v>
      </c>
      <c r="M322" s="5">
        <v>44853.0</v>
      </c>
      <c r="N322" s="1" t="s">
        <v>205</v>
      </c>
    </row>
    <row r="323" hidden="1">
      <c r="A323" s="1" t="s">
        <v>202</v>
      </c>
      <c r="B323" s="1" t="s">
        <v>25</v>
      </c>
      <c r="C323" s="1" t="s">
        <v>1659</v>
      </c>
      <c r="D323" s="1" t="str">
        <f>Vlookup(C323,'Oil &amp; Gas Documents - Canada'!F:M,2,FALSE)</f>
        <v>#N/A</v>
      </c>
      <c r="E323" s="1" t="str">
        <f>Vlookup(C323,'Oil &amp; Gas Documents - Canada'!F:N,9,FALSE)</f>
        <v>#N/A</v>
      </c>
      <c r="F323" s="1" t="s">
        <v>1660</v>
      </c>
      <c r="G323" s="4" t="str">
        <f>HYPERLINK("http://nimonikapp.com/legislations/268529","http://nimonikapp.com/legislations/268529")</f>
        <v>http://nimonikapp.com/legislations/268529</v>
      </c>
      <c r="H323" s="1" t="s">
        <v>18</v>
      </c>
      <c r="I323" s="1" t="s">
        <v>206</v>
      </c>
      <c r="J323" s="1" t="s">
        <v>207</v>
      </c>
      <c r="K323" s="5">
        <v>44853.0</v>
      </c>
      <c r="L323" s="5">
        <v>44713.0</v>
      </c>
      <c r="M323" s="5">
        <v>44853.0</v>
      </c>
      <c r="N323" s="1" t="s">
        <v>1661</v>
      </c>
    </row>
    <row r="324" hidden="1">
      <c r="A324" s="1" t="s">
        <v>202</v>
      </c>
      <c r="B324" s="1" t="s">
        <v>25</v>
      </c>
      <c r="C324" s="1" t="s">
        <v>1662</v>
      </c>
      <c r="D324" s="1" t="str">
        <f>Vlookup(C324,'Oil &amp; Gas Documents - Canada'!F:M,2,FALSE)</f>
        <v>#N/A</v>
      </c>
      <c r="E324" s="1" t="str">
        <f>Vlookup(C324,'Oil &amp; Gas Documents - Canada'!F:N,9,FALSE)</f>
        <v>#N/A</v>
      </c>
      <c r="F324" s="1" t="s">
        <v>1663</v>
      </c>
      <c r="G324" s="4" t="str">
        <f>HYPERLINK("http://nimonikapp.com/legislations/936","http://nimonikapp.com/legislations/936")</f>
        <v>http://nimonikapp.com/legislations/936</v>
      </c>
      <c r="H324" s="1" t="s">
        <v>18</v>
      </c>
      <c r="I324" s="1" t="s">
        <v>206</v>
      </c>
      <c r="J324" s="1" t="s">
        <v>207</v>
      </c>
      <c r="K324" s="5">
        <v>44853.0</v>
      </c>
      <c r="L324" s="5">
        <v>44713.0</v>
      </c>
      <c r="M324" s="5">
        <v>44853.0</v>
      </c>
      <c r="N324" s="1" t="s">
        <v>1664</v>
      </c>
    </row>
    <row r="325" hidden="1">
      <c r="A325" s="1" t="s">
        <v>73</v>
      </c>
      <c r="B325" s="1" t="s">
        <v>15</v>
      </c>
      <c r="C325" s="1" t="s">
        <v>1665</v>
      </c>
      <c r="D325" s="1" t="str">
        <f>Vlookup(C325,'Oil &amp; Gas Documents - Canada'!F:M,2,FALSE)</f>
        <v>#N/A</v>
      </c>
      <c r="E325" s="1" t="str">
        <f>Vlookup(C325,'Oil &amp; Gas Documents - Canada'!F:N,9,FALSE)</f>
        <v>#N/A</v>
      </c>
      <c r="F325" s="1" t="s">
        <v>1666</v>
      </c>
      <c r="G325" s="4" t="str">
        <f>HYPERLINK("http://nimonikapp.com/legislations/376818","http://nimonikapp.com/legislations/376818")</f>
        <v>http://nimonikapp.com/legislations/376818</v>
      </c>
      <c r="H325" s="1" t="s">
        <v>69</v>
      </c>
      <c r="K325" s="5">
        <v>44849.0</v>
      </c>
      <c r="M325" s="5">
        <v>44852.0</v>
      </c>
    </row>
    <row r="326" hidden="1">
      <c r="A326" s="1" t="s">
        <v>66</v>
      </c>
      <c r="B326" s="1" t="s">
        <v>25</v>
      </c>
      <c r="C326" s="1" t="s">
        <v>1667</v>
      </c>
      <c r="D326" s="1" t="str">
        <f>Vlookup(C326,'Oil &amp; Gas Documents - Canada'!F:M,2,FALSE)</f>
        <v>#N/A</v>
      </c>
      <c r="E326" s="1" t="str">
        <f>Vlookup(C326,'Oil &amp; Gas Documents - Canada'!F:N,9,FALSE)</f>
        <v>#N/A</v>
      </c>
      <c r="F326" s="1" t="s">
        <v>1668</v>
      </c>
      <c r="G326" s="4" t="str">
        <f>HYPERLINK("http://nimonikapp.com/legislations/117270","http://nimonikapp.com/legislations/117270")</f>
        <v>http://nimonikapp.com/legislations/117270</v>
      </c>
      <c r="H326" s="1" t="s">
        <v>18</v>
      </c>
      <c r="I326" s="1" t="s">
        <v>1669</v>
      </c>
      <c r="J326" s="1" t="s">
        <v>1670</v>
      </c>
      <c r="K326" s="5">
        <v>44845.0</v>
      </c>
      <c r="L326" s="5">
        <v>44845.0</v>
      </c>
      <c r="M326" s="5">
        <v>44852.0</v>
      </c>
      <c r="N326" s="1" t="s">
        <v>1671</v>
      </c>
    </row>
    <row r="327" hidden="1">
      <c r="A327" s="1" t="s">
        <v>202</v>
      </c>
      <c r="B327" s="1" t="s">
        <v>25</v>
      </c>
      <c r="C327" s="1" t="s">
        <v>1672</v>
      </c>
      <c r="D327" s="1" t="str">
        <f>Vlookup(C327,'Oil &amp; Gas Documents - Canada'!F:M,2,FALSE)</f>
        <v>#N/A</v>
      </c>
      <c r="E327" s="1" t="str">
        <f>Vlookup(C327,'Oil &amp; Gas Documents - Canada'!F:N,9,FALSE)</f>
        <v>#N/A</v>
      </c>
      <c r="F327" s="1" t="s">
        <v>1673</v>
      </c>
      <c r="G327" s="4" t="str">
        <f>HYPERLINK("http://nimonikapp.com/legislations/2","http://nimonikapp.com/legislations/2")</f>
        <v>http://nimonikapp.com/legislations/2</v>
      </c>
      <c r="H327" s="1" t="s">
        <v>18</v>
      </c>
      <c r="I327" s="1" t="s">
        <v>1674</v>
      </c>
      <c r="J327" s="1" t="s">
        <v>1675</v>
      </c>
      <c r="K327" s="5">
        <v>44851.0</v>
      </c>
      <c r="L327" s="5">
        <v>44713.0</v>
      </c>
      <c r="M327" s="5">
        <v>44852.0</v>
      </c>
      <c r="N327" s="1" t="s">
        <v>1676</v>
      </c>
    </row>
    <row r="328" hidden="1">
      <c r="A328" s="1" t="s">
        <v>24</v>
      </c>
      <c r="B328" s="1" t="s">
        <v>25</v>
      </c>
      <c r="C328" s="1" t="s">
        <v>1617</v>
      </c>
      <c r="D328" s="1" t="str">
        <f>Vlookup(C328,'Oil &amp; Gas Documents - Canada'!F:M,2,FALSE)</f>
        <v>#N/A</v>
      </c>
      <c r="E328" s="1" t="str">
        <f>Vlookup(C328,'Oil &amp; Gas Documents - Canada'!F:N,9,FALSE)</f>
        <v>#N/A</v>
      </c>
      <c r="F328" s="1" t="s">
        <v>1618</v>
      </c>
      <c r="G328" s="4" t="str">
        <f>HYPERLINK("http://nimonikapp.com/legislations/1247","http://nimonikapp.com/legislations/1247")</f>
        <v>http://nimonikapp.com/legislations/1247</v>
      </c>
      <c r="H328" s="1" t="s">
        <v>18</v>
      </c>
      <c r="I328" s="1" t="s">
        <v>1677</v>
      </c>
      <c r="J328" s="1" t="s">
        <v>1678</v>
      </c>
      <c r="K328" s="5">
        <v>44845.0</v>
      </c>
      <c r="L328" s="5">
        <v>44927.0</v>
      </c>
      <c r="M328" s="5">
        <v>44851.0</v>
      </c>
      <c r="N328" s="1" t="s">
        <v>1621</v>
      </c>
    </row>
    <row r="329" hidden="1">
      <c r="A329" s="1" t="s">
        <v>24</v>
      </c>
      <c r="B329" s="1" t="s">
        <v>25</v>
      </c>
      <c r="C329" s="1" t="s">
        <v>1679</v>
      </c>
      <c r="D329" s="1" t="str">
        <f>Vlookup(C329,'Oil &amp; Gas Documents - Canada'!F:M,2,FALSE)</f>
        <v>#N/A</v>
      </c>
      <c r="E329" s="1" t="str">
        <f>Vlookup(C329,'Oil &amp; Gas Documents - Canada'!F:N,9,FALSE)</f>
        <v>#N/A</v>
      </c>
      <c r="F329" s="1" t="s">
        <v>1533</v>
      </c>
      <c r="G329" s="4" t="str">
        <f>HYPERLINK("http://nimonikapp.com/legislations/96","http://nimonikapp.com/legislations/96")</f>
        <v>http://nimonikapp.com/legislations/96</v>
      </c>
      <c r="H329" s="1" t="s">
        <v>18</v>
      </c>
      <c r="I329" s="1" t="s">
        <v>1677</v>
      </c>
      <c r="J329" s="1" t="s">
        <v>1678</v>
      </c>
      <c r="K329" s="5">
        <v>44845.0</v>
      </c>
      <c r="L329" s="5">
        <v>44927.0</v>
      </c>
      <c r="M329" s="5">
        <v>44851.0</v>
      </c>
      <c r="N329" s="1" t="s">
        <v>1680</v>
      </c>
    </row>
    <row r="330" hidden="1">
      <c r="A330" s="1" t="s">
        <v>221</v>
      </c>
      <c r="B330" s="1" t="s">
        <v>15</v>
      </c>
      <c r="C330" s="1" t="s">
        <v>1681</v>
      </c>
      <c r="D330" s="1" t="str">
        <f>Vlookup(C330,'Oil &amp; Gas Documents - Canada'!F:M,2,FALSE)</f>
        <v>#N/A</v>
      </c>
      <c r="E330" s="1" t="str">
        <f>Vlookup(C330,'Oil &amp; Gas Documents - Canada'!F:N,9,FALSE)</f>
        <v>#N/A</v>
      </c>
      <c r="F330" s="1" t="s">
        <v>1682</v>
      </c>
      <c r="G330" s="4" t="str">
        <f>HYPERLINK("http://nimonikapp.com/legislations/376416","http://nimonikapp.com/legislations/376416")</f>
        <v>http://nimonikapp.com/legislations/376416</v>
      </c>
      <c r="H330" s="1" t="s">
        <v>69</v>
      </c>
      <c r="K330" s="5">
        <v>44833.0</v>
      </c>
      <c r="M330" s="5">
        <v>44848.0</v>
      </c>
    </row>
    <row r="331" hidden="1">
      <c r="A331" s="1" t="s">
        <v>73</v>
      </c>
      <c r="B331" s="1" t="s">
        <v>25</v>
      </c>
      <c r="C331" s="1" t="s">
        <v>1683</v>
      </c>
      <c r="D331" s="1" t="str">
        <f>Vlookup(C331,'Oil &amp; Gas Documents - Canada'!F:M,2,FALSE)</f>
        <v>#N/A</v>
      </c>
      <c r="E331" s="1" t="str">
        <f>Vlookup(C331,'Oil &amp; Gas Documents - Canada'!F:N,9,FALSE)</f>
        <v>#N/A</v>
      </c>
      <c r="F331" s="1" t="s">
        <v>1684</v>
      </c>
      <c r="G331" s="4" t="str">
        <f>HYPERLINK("http://nimonikapp.com/legislations/154036","http://nimonikapp.com/legislations/154036")</f>
        <v>http://nimonikapp.com/legislations/154036</v>
      </c>
      <c r="H331" s="1" t="s">
        <v>18</v>
      </c>
      <c r="I331" s="1" t="s">
        <v>211</v>
      </c>
      <c r="J331" s="1" t="s">
        <v>212</v>
      </c>
      <c r="K331" s="5">
        <v>44846.0</v>
      </c>
      <c r="L331" s="5">
        <v>44831.0</v>
      </c>
      <c r="M331" s="5">
        <v>44846.0</v>
      </c>
    </row>
    <row r="332">
      <c r="A332" s="1" t="s">
        <v>73</v>
      </c>
      <c r="B332" s="1" t="s">
        <v>25</v>
      </c>
      <c r="C332" s="1" t="s">
        <v>209</v>
      </c>
      <c r="D332" s="1" t="str">
        <f>Vlookup(C332,'Oil &amp; Gas Documents - Canada'!F:M,2,FALSE)</f>
        <v>oil_and_gas</v>
      </c>
      <c r="E332" s="1" t="str">
        <f>Vlookup(C332,'Oil &amp; Gas Documents - Canada'!F:N,9,FALSE)</f>
        <v/>
      </c>
      <c r="F332" s="1" t="s">
        <v>208</v>
      </c>
      <c r="G332" s="4" t="str">
        <f>HYPERLINK("http://nimonikapp.com/legislations/4018","http://nimonikapp.com/legislations/4018")</f>
        <v>http://nimonikapp.com/legislations/4018</v>
      </c>
      <c r="H332" s="1" t="s">
        <v>18</v>
      </c>
      <c r="I332" s="1" t="s">
        <v>211</v>
      </c>
      <c r="J332" s="1" t="s">
        <v>212</v>
      </c>
      <c r="K332" s="5">
        <v>44846.0</v>
      </c>
      <c r="L332" s="5">
        <v>44831.0</v>
      </c>
      <c r="M332" s="5">
        <v>44846.0</v>
      </c>
      <c r="N332" s="1" t="s">
        <v>210</v>
      </c>
    </row>
    <row r="333" hidden="1">
      <c r="A333" s="1" t="s">
        <v>73</v>
      </c>
      <c r="B333" s="1" t="s">
        <v>25</v>
      </c>
      <c r="C333" s="1" t="s">
        <v>1685</v>
      </c>
      <c r="D333" s="1" t="str">
        <f>Vlookup(C333,'Oil &amp; Gas Documents - Canada'!F:M,2,FALSE)</f>
        <v>#N/A</v>
      </c>
      <c r="E333" s="1" t="str">
        <f>Vlookup(C333,'Oil &amp; Gas Documents - Canada'!F:N,9,FALSE)</f>
        <v>#N/A</v>
      </c>
      <c r="F333" s="1" t="s">
        <v>1686</v>
      </c>
      <c r="G333" s="4" t="str">
        <f>HYPERLINK("http://nimonikapp.com/legislations/281161","http://nimonikapp.com/legislations/281161")</f>
        <v>http://nimonikapp.com/legislations/281161</v>
      </c>
      <c r="H333" s="1" t="s">
        <v>18</v>
      </c>
      <c r="I333" s="1" t="s">
        <v>216</v>
      </c>
      <c r="J333" s="1" t="s">
        <v>217</v>
      </c>
      <c r="K333" s="5">
        <v>44846.0</v>
      </c>
      <c r="L333" s="5">
        <v>44837.0</v>
      </c>
      <c r="M333" s="5">
        <v>44846.0</v>
      </c>
      <c r="N333" s="1" t="s">
        <v>1687</v>
      </c>
    </row>
    <row r="334">
      <c r="A334" s="1" t="s">
        <v>73</v>
      </c>
      <c r="B334" s="1" t="s">
        <v>25</v>
      </c>
      <c r="C334" s="1" t="s">
        <v>214</v>
      </c>
      <c r="D334" s="1" t="s">
        <v>26</v>
      </c>
      <c r="E334" s="1" t="str">
        <f>Vlookup(C334,'Oil &amp; Gas Documents - Canada'!F:N,9,FALSE)</f>
        <v>#N/A</v>
      </c>
      <c r="F334" s="1" t="s">
        <v>213</v>
      </c>
      <c r="G334" s="4" t="str">
        <f>HYPERLINK("http://nimonikapp.com/legislations/3961","http://nimonikapp.com/legislations/3961")</f>
        <v>http://nimonikapp.com/legislations/3961</v>
      </c>
      <c r="H334" s="1" t="s">
        <v>18</v>
      </c>
      <c r="I334" s="1" t="s">
        <v>216</v>
      </c>
      <c r="J334" s="1" t="s">
        <v>217</v>
      </c>
      <c r="K334" s="5">
        <v>44846.0</v>
      </c>
      <c r="L334" s="5">
        <v>44837.0</v>
      </c>
      <c r="M334" s="5">
        <v>44846.0</v>
      </c>
      <c r="N334" s="1" t="s">
        <v>215</v>
      </c>
    </row>
    <row r="335" hidden="1">
      <c r="A335" s="1" t="s">
        <v>73</v>
      </c>
      <c r="B335" s="1" t="s">
        <v>25</v>
      </c>
      <c r="C335" s="1" t="s">
        <v>1688</v>
      </c>
      <c r="D335" s="1" t="str">
        <f>Vlookup(C335,'Oil &amp; Gas Documents - Canada'!F:M,2,FALSE)</f>
        <v>#N/A</v>
      </c>
      <c r="E335" s="1" t="str">
        <f>Vlookup(C335,'Oil &amp; Gas Documents - Canada'!F:N,9,FALSE)</f>
        <v>#N/A</v>
      </c>
      <c r="F335" s="1" t="s">
        <v>1689</v>
      </c>
      <c r="G335" s="4" t="str">
        <f>HYPERLINK("http://nimonikapp.com/legislations/5619","http://nimonikapp.com/legislations/5619")</f>
        <v>http://nimonikapp.com/legislations/5619</v>
      </c>
      <c r="H335" s="1" t="s">
        <v>18</v>
      </c>
      <c r="I335" s="1" t="s">
        <v>216</v>
      </c>
      <c r="J335" s="1" t="s">
        <v>217</v>
      </c>
      <c r="K335" s="5">
        <v>44846.0</v>
      </c>
      <c r="L335" s="5">
        <v>44837.0</v>
      </c>
      <c r="M335" s="5">
        <v>44846.0</v>
      </c>
      <c r="N335" s="1" t="s">
        <v>1690</v>
      </c>
    </row>
    <row r="336">
      <c r="A336" s="1" t="s">
        <v>73</v>
      </c>
      <c r="B336" s="1" t="s">
        <v>25</v>
      </c>
      <c r="C336" s="1" t="s">
        <v>219</v>
      </c>
      <c r="D336" s="1" t="s">
        <v>26</v>
      </c>
      <c r="E336" s="1" t="str">
        <f>Vlookup(C336,'Oil &amp; Gas Documents - Canada'!F:N,9,FALSE)</f>
        <v>#N/A</v>
      </c>
      <c r="F336" s="1" t="s">
        <v>218</v>
      </c>
      <c r="G336" s="4" t="str">
        <f>HYPERLINK("http://nimonikapp.com/legislations/879","http://nimonikapp.com/legislations/879")</f>
        <v>http://nimonikapp.com/legislations/879</v>
      </c>
      <c r="H336" s="1" t="s">
        <v>18</v>
      </c>
      <c r="I336" s="1" t="s">
        <v>216</v>
      </c>
      <c r="J336" s="1" t="s">
        <v>217</v>
      </c>
      <c r="K336" s="5">
        <v>44846.0</v>
      </c>
      <c r="L336" s="5">
        <v>44837.0</v>
      </c>
      <c r="M336" s="5">
        <v>44846.0</v>
      </c>
      <c r="N336" s="1" t="s">
        <v>220</v>
      </c>
    </row>
    <row r="337" hidden="1">
      <c r="A337" s="1" t="s">
        <v>73</v>
      </c>
      <c r="B337" s="1" t="s">
        <v>25</v>
      </c>
      <c r="C337" s="1" t="s">
        <v>1691</v>
      </c>
      <c r="D337" s="1" t="str">
        <f>Vlookup(C337,'Oil &amp; Gas Documents - Canada'!F:M,2,FALSE)</f>
        <v>#N/A</v>
      </c>
      <c r="E337" s="1" t="str">
        <f>Vlookup(C337,'Oil &amp; Gas Documents - Canada'!F:N,9,FALSE)</f>
        <v>#N/A</v>
      </c>
      <c r="F337" s="1" t="s">
        <v>1692</v>
      </c>
      <c r="G337" s="4" t="str">
        <f>HYPERLINK("http://nimonikapp.com/legislations/317110","http://nimonikapp.com/legislations/317110")</f>
        <v>http://nimonikapp.com/legislations/317110</v>
      </c>
      <c r="H337" s="1" t="s">
        <v>18</v>
      </c>
      <c r="I337" s="1" t="s">
        <v>1693</v>
      </c>
      <c r="J337" s="1" t="s">
        <v>1694</v>
      </c>
      <c r="K337" s="5">
        <v>44846.0</v>
      </c>
      <c r="L337" s="5">
        <v>44831.0</v>
      </c>
      <c r="M337" s="5">
        <v>44846.0</v>
      </c>
    </row>
    <row r="338" hidden="1">
      <c r="A338" s="1" t="s">
        <v>73</v>
      </c>
      <c r="B338" s="1" t="s">
        <v>25</v>
      </c>
      <c r="C338" s="1" t="s">
        <v>1695</v>
      </c>
      <c r="D338" s="1" t="str">
        <f>Vlookup(C338,'Oil &amp; Gas Documents - Canada'!F:M,2,FALSE)</f>
        <v>#N/A</v>
      </c>
      <c r="E338" s="1" t="str">
        <f>Vlookup(C338,'Oil &amp; Gas Documents - Canada'!F:N,9,FALSE)</f>
        <v>#N/A</v>
      </c>
      <c r="F338" s="1" t="s">
        <v>1696</v>
      </c>
      <c r="G338" s="4" t="str">
        <f>HYPERLINK("http://nimonikapp.com/legislations/1002","http://nimonikapp.com/legislations/1002")</f>
        <v>http://nimonikapp.com/legislations/1002</v>
      </c>
      <c r="H338" s="1" t="s">
        <v>18</v>
      </c>
      <c r="I338" s="1" t="s">
        <v>1693</v>
      </c>
      <c r="J338" s="1" t="s">
        <v>1694</v>
      </c>
      <c r="K338" s="5">
        <v>44846.0</v>
      </c>
      <c r="L338" s="5">
        <v>44831.0</v>
      </c>
      <c r="M338" s="5">
        <v>44846.0</v>
      </c>
      <c r="N338" s="1" t="s">
        <v>1697</v>
      </c>
    </row>
    <row r="339" hidden="1">
      <c r="A339" s="1" t="s">
        <v>73</v>
      </c>
      <c r="B339" s="1" t="s">
        <v>25</v>
      </c>
      <c r="C339" s="1" t="s">
        <v>1698</v>
      </c>
      <c r="D339" s="1" t="str">
        <f>Vlookup(C339,'Oil &amp; Gas Documents - Canada'!F:M,2,FALSE)</f>
        <v>#N/A</v>
      </c>
      <c r="E339" s="1" t="str">
        <f>Vlookup(C339,'Oil &amp; Gas Documents - Canada'!F:N,9,FALSE)</f>
        <v>#N/A</v>
      </c>
      <c r="F339" s="1" t="s">
        <v>1699</v>
      </c>
      <c r="G339" s="4" t="str">
        <f>HYPERLINK("http://nimonikapp.com/legislations/5661","http://nimonikapp.com/legislations/5661")</f>
        <v>http://nimonikapp.com/legislations/5661</v>
      </c>
      <c r="H339" s="1" t="s">
        <v>18</v>
      </c>
      <c r="I339" s="1" t="s">
        <v>1693</v>
      </c>
      <c r="J339" s="1" t="s">
        <v>1694</v>
      </c>
      <c r="K339" s="5">
        <v>44846.0</v>
      </c>
      <c r="L339" s="5">
        <v>44831.0</v>
      </c>
      <c r="M339" s="5">
        <v>44846.0</v>
      </c>
    </row>
    <row r="340" hidden="1">
      <c r="A340" s="1" t="s">
        <v>73</v>
      </c>
      <c r="B340" s="1" t="s">
        <v>25</v>
      </c>
      <c r="C340" s="1" t="s">
        <v>1700</v>
      </c>
      <c r="D340" s="1" t="str">
        <f>Vlookup(C340,'Oil &amp; Gas Documents - Canada'!F:M,2,FALSE)</f>
        <v>#N/A</v>
      </c>
      <c r="E340" s="1" t="str">
        <f>Vlookup(C340,'Oil &amp; Gas Documents - Canada'!F:N,9,FALSE)</f>
        <v>#N/A</v>
      </c>
      <c r="F340" s="1" t="s">
        <v>1701</v>
      </c>
      <c r="G340" s="4" t="str">
        <f>HYPERLINK("http://nimonikapp.com/legislations/316971","http://nimonikapp.com/legislations/316971")</f>
        <v>http://nimonikapp.com/legislations/316971</v>
      </c>
      <c r="H340" s="1" t="s">
        <v>18</v>
      </c>
      <c r="I340" s="1" t="s">
        <v>1693</v>
      </c>
      <c r="J340" s="1" t="s">
        <v>1694</v>
      </c>
      <c r="K340" s="5">
        <v>44846.0</v>
      </c>
      <c r="L340" s="5">
        <v>44831.0</v>
      </c>
      <c r="M340" s="5">
        <v>44846.0</v>
      </c>
      <c r="N340" s="1" t="s">
        <v>1702</v>
      </c>
    </row>
    <row r="341" hidden="1">
      <c r="A341" s="1" t="s">
        <v>73</v>
      </c>
      <c r="B341" s="1" t="s">
        <v>25</v>
      </c>
      <c r="C341" s="1" t="s">
        <v>1703</v>
      </c>
      <c r="D341" s="1" t="str">
        <f>Vlookup(C341,'Oil &amp; Gas Documents - Canada'!F:M,2,FALSE)</f>
        <v>#N/A</v>
      </c>
      <c r="E341" s="1" t="str">
        <f>Vlookup(C341,'Oil &amp; Gas Documents - Canada'!F:N,9,FALSE)</f>
        <v>#N/A</v>
      </c>
      <c r="F341" s="1" t="s">
        <v>1704</v>
      </c>
      <c r="G341" s="4" t="str">
        <f>HYPERLINK("http://nimonikapp.com/legislations/116860","http://nimonikapp.com/legislations/116860")</f>
        <v>http://nimonikapp.com/legislations/116860</v>
      </c>
      <c r="H341" s="1" t="s">
        <v>18</v>
      </c>
      <c r="I341" s="1" t="s">
        <v>1693</v>
      </c>
      <c r="J341" s="1" t="s">
        <v>1694</v>
      </c>
      <c r="K341" s="5">
        <v>44846.0</v>
      </c>
      <c r="L341" s="5">
        <v>44831.0</v>
      </c>
      <c r="M341" s="5">
        <v>44846.0</v>
      </c>
      <c r="N341" s="1" t="s">
        <v>1705</v>
      </c>
    </row>
    <row r="342" hidden="1">
      <c r="A342" s="1" t="s">
        <v>73</v>
      </c>
      <c r="B342" s="1" t="s">
        <v>25</v>
      </c>
      <c r="C342" s="1" t="s">
        <v>1435</v>
      </c>
      <c r="D342" s="1" t="str">
        <f>Vlookup(C342,'Oil &amp; Gas Documents - Canada'!F:M,2,FALSE)</f>
        <v>#N/A</v>
      </c>
      <c r="E342" s="1" t="str">
        <f>Vlookup(C342,'Oil &amp; Gas Documents - Canada'!F:N,9,FALSE)</f>
        <v>#N/A</v>
      </c>
      <c r="F342" s="1" t="s">
        <v>1436</v>
      </c>
      <c r="G342" s="4" t="str">
        <f>HYPERLINK("http://nimonikapp.com/legislations/321802","http://nimonikapp.com/legislations/321802")</f>
        <v>http://nimonikapp.com/legislations/321802</v>
      </c>
      <c r="H342" s="1" t="s">
        <v>18</v>
      </c>
      <c r="I342" s="1" t="s">
        <v>1706</v>
      </c>
      <c r="J342" s="1" t="s">
        <v>1707</v>
      </c>
      <c r="K342" s="5">
        <v>44846.0</v>
      </c>
      <c r="L342" s="5">
        <v>44831.0</v>
      </c>
      <c r="M342" s="5">
        <v>44846.0</v>
      </c>
      <c r="N342" s="1" t="s">
        <v>1439</v>
      </c>
    </row>
    <row r="343" hidden="1">
      <c r="A343" s="1" t="s">
        <v>73</v>
      </c>
      <c r="B343" s="1" t="s">
        <v>25</v>
      </c>
      <c r="C343" s="1" t="s">
        <v>1045</v>
      </c>
      <c r="D343" s="1" t="str">
        <f>Vlookup(C343,'Oil &amp; Gas Documents - Canada'!F:M,2,FALSE)</f>
        <v>#N/A</v>
      </c>
      <c r="E343" s="1" t="str">
        <f>Vlookup(C343,'Oil &amp; Gas Documents - Canada'!F:N,9,FALSE)</f>
        <v>#N/A</v>
      </c>
      <c r="F343" s="1" t="s">
        <v>1046</v>
      </c>
      <c r="G343" s="4" t="str">
        <f>HYPERLINK("http://nimonikapp.com/legislations/321966","http://nimonikapp.com/legislations/321966")</f>
        <v>http://nimonikapp.com/legislations/321966</v>
      </c>
      <c r="H343" s="1" t="s">
        <v>18</v>
      </c>
      <c r="I343" s="1" t="s">
        <v>1708</v>
      </c>
      <c r="J343" s="1" t="s">
        <v>1048</v>
      </c>
      <c r="K343" s="5">
        <v>44846.0</v>
      </c>
      <c r="L343" s="5">
        <v>44833.0</v>
      </c>
      <c r="M343" s="5">
        <v>44846.0</v>
      </c>
      <c r="N343" s="1" t="s">
        <v>1049</v>
      </c>
    </row>
    <row r="344" hidden="1">
      <c r="A344" s="1" t="s">
        <v>73</v>
      </c>
      <c r="B344" s="1" t="s">
        <v>25</v>
      </c>
      <c r="C344" s="1" t="s">
        <v>1709</v>
      </c>
      <c r="D344" s="1" t="str">
        <f>Vlookup(C344,'Oil &amp; Gas Documents - Canada'!F:M,2,FALSE)</f>
        <v>#N/A</v>
      </c>
      <c r="E344" s="1" t="str">
        <f>Vlookup(C344,'Oil &amp; Gas Documents - Canada'!F:N,9,FALSE)</f>
        <v>#N/A</v>
      </c>
      <c r="F344" s="1" t="s">
        <v>1710</v>
      </c>
      <c r="G344" s="4" t="str">
        <f t="shared" ref="G344:G345" si="8">HYPERLINK("http://nimonikapp.com/legislations/321972","http://nimonikapp.com/legislations/321972")</f>
        <v>http://nimonikapp.com/legislations/321972</v>
      </c>
      <c r="H344" s="1" t="s">
        <v>18</v>
      </c>
      <c r="I344" s="1" t="s">
        <v>1711</v>
      </c>
      <c r="J344" s="1" t="s">
        <v>1712</v>
      </c>
      <c r="K344" s="5">
        <v>44846.0</v>
      </c>
      <c r="L344" s="5">
        <v>44833.0</v>
      </c>
      <c r="M344" s="5">
        <v>44846.0</v>
      </c>
      <c r="N344" s="1" t="s">
        <v>1713</v>
      </c>
    </row>
    <row r="345" hidden="1">
      <c r="A345" s="1" t="s">
        <v>73</v>
      </c>
      <c r="B345" s="1" t="s">
        <v>25</v>
      </c>
      <c r="C345" s="1" t="s">
        <v>1709</v>
      </c>
      <c r="D345" s="1" t="str">
        <f>Vlookup(C345,'Oil &amp; Gas Documents - Canada'!F:M,2,FALSE)</f>
        <v>#N/A</v>
      </c>
      <c r="E345" s="1" t="str">
        <f>Vlookup(C345,'Oil &amp; Gas Documents - Canada'!F:N,9,FALSE)</f>
        <v>#N/A</v>
      </c>
      <c r="F345" s="1" t="s">
        <v>1710</v>
      </c>
      <c r="G345" s="4" t="str">
        <f t="shared" si="8"/>
        <v>http://nimonikapp.com/legislations/321972</v>
      </c>
      <c r="H345" s="1" t="s">
        <v>18</v>
      </c>
      <c r="I345" s="1" t="s">
        <v>1714</v>
      </c>
      <c r="J345" s="1" t="s">
        <v>1712</v>
      </c>
      <c r="K345" s="5">
        <v>44846.0</v>
      </c>
      <c r="L345" s="5">
        <v>44833.0</v>
      </c>
      <c r="M345" s="5">
        <v>44846.0</v>
      </c>
      <c r="N345" s="1" t="s">
        <v>1713</v>
      </c>
    </row>
    <row r="346" hidden="1">
      <c r="A346" s="1" t="s">
        <v>73</v>
      </c>
      <c r="B346" s="1" t="s">
        <v>25</v>
      </c>
      <c r="C346" s="1" t="s">
        <v>1050</v>
      </c>
      <c r="D346" s="1" t="str">
        <f>Vlookup(C346,'Oil &amp; Gas Documents - Canada'!F:M,2,FALSE)</f>
        <v>#N/A</v>
      </c>
      <c r="E346" s="1" t="str">
        <f>Vlookup(C346,'Oil &amp; Gas Documents - Canada'!F:N,9,FALSE)</f>
        <v>#N/A</v>
      </c>
      <c r="F346" s="1" t="s">
        <v>1051</v>
      </c>
      <c r="G346" s="4" t="str">
        <f>HYPERLINK("http://nimonikapp.com/legislations/321960","http://nimonikapp.com/legislations/321960")</f>
        <v>http://nimonikapp.com/legislations/321960</v>
      </c>
      <c r="H346" s="1" t="s">
        <v>18</v>
      </c>
      <c r="I346" s="1" t="s">
        <v>1715</v>
      </c>
      <c r="J346" s="1" t="s">
        <v>1053</v>
      </c>
      <c r="K346" s="5">
        <v>44846.0</v>
      </c>
      <c r="L346" s="5">
        <v>44837.0</v>
      </c>
      <c r="M346" s="5">
        <v>44846.0</v>
      </c>
      <c r="N346" s="1" t="s">
        <v>1054</v>
      </c>
    </row>
    <row r="347" hidden="1">
      <c r="A347" s="1" t="s">
        <v>24</v>
      </c>
      <c r="B347" s="1" t="s">
        <v>15</v>
      </c>
      <c r="C347" s="1" t="s">
        <v>1716</v>
      </c>
      <c r="D347" s="1" t="str">
        <f>Vlookup(C347,'Oil &amp; Gas Documents - Canada'!F:M,2,FALSE)</f>
        <v>#N/A</v>
      </c>
      <c r="E347" s="1" t="str">
        <f>Vlookup(C347,'Oil &amp; Gas Documents - Canada'!F:N,9,FALSE)</f>
        <v>#N/A</v>
      </c>
      <c r="F347" s="1" t="s">
        <v>1717</v>
      </c>
      <c r="G347" s="4" t="str">
        <f>HYPERLINK("http://nimonikapp.com/legislations/376001","http://nimonikapp.com/legislations/376001")</f>
        <v>http://nimonikapp.com/legislations/376001</v>
      </c>
      <c r="H347" s="1" t="s">
        <v>69</v>
      </c>
      <c r="K347" s="5">
        <v>44837.0</v>
      </c>
      <c r="M347" s="5">
        <v>44845.0</v>
      </c>
    </row>
    <row r="348" hidden="1">
      <c r="A348" s="1" t="s">
        <v>73</v>
      </c>
      <c r="B348" s="1" t="s">
        <v>15</v>
      </c>
      <c r="C348" s="1" t="s">
        <v>1718</v>
      </c>
      <c r="D348" s="1" t="str">
        <f>Vlookup(C348,'Oil &amp; Gas Documents - Canada'!F:M,2,FALSE)</f>
        <v>#N/A</v>
      </c>
      <c r="E348" s="1" t="str">
        <f>Vlookup(C348,'Oil &amp; Gas Documents - Canada'!F:N,9,FALSE)</f>
        <v>#N/A</v>
      </c>
      <c r="F348" s="1" t="s">
        <v>1719</v>
      </c>
      <c r="G348" s="4" t="str">
        <f>HYPERLINK("http://nimonikapp.com/legislations/376002","http://nimonikapp.com/legislations/376002")</f>
        <v>http://nimonikapp.com/legislations/376002</v>
      </c>
      <c r="H348" s="1" t="s">
        <v>69</v>
      </c>
      <c r="K348" s="5">
        <v>44842.0</v>
      </c>
      <c r="M348" s="5">
        <v>44845.0</v>
      </c>
    </row>
    <row r="349" hidden="1">
      <c r="A349" s="1" t="s">
        <v>73</v>
      </c>
      <c r="B349" s="1" t="s">
        <v>364</v>
      </c>
      <c r="C349" s="1" t="s">
        <v>1720</v>
      </c>
      <c r="D349" s="1" t="str">
        <f>Vlookup(C349,'Oil &amp; Gas Documents - Canada'!F:M,2,FALSE)</f>
        <v>#N/A</v>
      </c>
      <c r="E349" s="1" t="str">
        <f>Vlookup(C349,'Oil &amp; Gas Documents - Canada'!F:N,9,FALSE)</f>
        <v>#N/A</v>
      </c>
      <c r="F349" s="1" t="s">
        <v>1721</v>
      </c>
      <c r="G349" s="4" t="str">
        <f>HYPERLINK("http://nimonikapp.com/legislations/374057","http://nimonikapp.com/legislations/374057")</f>
        <v>http://nimonikapp.com/legislations/374057</v>
      </c>
      <c r="H349" s="1" t="s">
        <v>356</v>
      </c>
      <c r="I349" s="1" t="s">
        <v>1722</v>
      </c>
      <c r="J349" s="1" t="s">
        <v>1723</v>
      </c>
      <c r="K349" s="5">
        <v>44842.0</v>
      </c>
      <c r="L349" s="5">
        <v>44826.0</v>
      </c>
      <c r="M349" s="5">
        <v>44845.0</v>
      </c>
      <c r="N349" s="1" t="s">
        <v>1724</v>
      </c>
    </row>
    <row r="350" hidden="1">
      <c r="A350" s="1" t="s">
        <v>66</v>
      </c>
      <c r="B350" s="1" t="s">
        <v>15</v>
      </c>
      <c r="C350" s="1" t="s">
        <v>1725</v>
      </c>
      <c r="D350" s="1" t="str">
        <f>Vlookup(C350,'Oil &amp; Gas Documents - Canada'!F:M,2,FALSE)</f>
        <v>#N/A</v>
      </c>
      <c r="E350" s="1" t="str">
        <f>Vlookup(C350,'Oil &amp; Gas Documents - Canada'!F:N,9,FALSE)</f>
        <v>#N/A</v>
      </c>
      <c r="F350" s="1" t="s">
        <v>1726</v>
      </c>
      <c r="G350" s="4" t="str">
        <f>HYPERLINK("http://nimonikapp.com/legislations/375568","http://nimonikapp.com/legislations/375568")</f>
        <v>http://nimonikapp.com/legislations/375568</v>
      </c>
      <c r="H350" s="1" t="s">
        <v>18</v>
      </c>
      <c r="K350" s="5">
        <v>44833.0</v>
      </c>
      <c r="L350" s="5">
        <v>44562.0</v>
      </c>
      <c r="M350" s="5">
        <v>44841.0</v>
      </c>
    </row>
    <row r="351" hidden="1">
      <c r="A351" s="1" t="s">
        <v>66</v>
      </c>
      <c r="B351" s="1" t="s">
        <v>15</v>
      </c>
      <c r="C351" s="1" t="s">
        <v>1727</v>
      </c>
      <c r="D351" s="1" t="str">
        <f>Vlookup(C351,'Oil &amp; Gas Documents - Canada'!F:M,2,FALSE)</f>
        <v>#N/A</v>
      </c>
      <c r="E351" s="1" t="str">
        <f>Vlookup(C351,'Oil &amp; Gas Documents - Canada'!F:N,9,FALSE)</f>
        <v>#N/A</v>
      </c>
      <c r="F351" s="1" t="s">
        <v>1728</v>
      </c>
      <c r="G351" s="4" t="str">
        <f>HYPERLINK("http://nimonikapp.com/legislations/375567","http://nimonikapp.com/legislations/375567")</f>
        <v>http://nimonikapp.com/legislations/375567</v>
      </c>
      <c r="H351" s="1" t="s">
        <v>18</v>
      </c>
      <c r="K351" s="5">
        <v>44833.0</v>
      </c>
      <c r="L351" s="5">
        <v>44835.0</v>
      </c>
      <c r="M351" s="5">
        <v>44841.0</v>
      </c>
    </row>
    <row r="352">
      <c r="A352" s="1" t="s">
        <v>221</v>
      </c>
      <c r="B352" s="1" t="s">
        <v>15</v>
      </c>
      <c r="C352" s="1" t="s">
        <v>223</v>
      </c>
      <c r="D352" s="1" t="s">
        <v>26</v>
      </c>
      <c r="E352" s="1" t="str">
        <f>Vlookup(C352,'Oil &amp; Gas Documents - Canada'!F:N,9,FALSE)</f>
        <v>#N/A</v>
      </c>
      <c r="F352" s="1" t="s">
        <v>222</v>
      </c>
      <c r="G352" s="4" t="str">
        <f>HYPERLINK("http://nimonikapp.com/legislations/115673","http://nimonikapp.com/legislations/115673")</f>
        <v>http://nimonikapp.com/legislations/115673</v>
      </c>
      <c r="H352" s="1" t="s">
        <v>18</v>
      </c>
      <c r="I352" s="1" t="s">
        <v>224</v>
      </c>
      <c r="J352" s="1" t="s">
        <v>225</v>
      </c>
      <c r="K352" s="5">
        <v>42522.0</v>
      </c>
      <c r="M352" s="5">
        <v>44840.0</v>
      </c>
    </row>
    <row r="353" hidden="1">
      <c r="A353" s="1" t="s">
        <v>202</v>
      </c>
      <c r="B353" s="1" t="s">
        <v>15</v>
      </c>
      <c r="C353" s="1" t="s">
        <v>1729</v>
      </c>
      <c r="D353" s="1" t="str">
        <f>Vlookup(C353,'Oil &amp; Gas Documents - Canada'!F:M,2,FALSE)</f>
        <v>#N/A</v>
      </c>
      <c r="E353" s="1" t="str">
        <f>Vlookup(C353,'Oil &amp; Gas Documents - Canada'!F:N,9,FALSE)</f>
        <v>#N/A</v>
      </c>
      <c r="F353" s="1" t="s">
        <v>1730</v>
      </c>
      <c r="G353" s="4" t="str">
        <f>HYPERLINK("http://nimonikapp.com/legislations/375470","http://nimonikapp.com/legislations/375470")</f>
        <v>http://nimonikapp.com/legislations/375470</v>
      </c>
      <c r="H353" s="1" t="s">
        <v>18</v>
      </c>
      <c r="K353" s="5">
        <v>44839.0</v>
      </c>
      <c r="M353" s="5">
        <v>44839.0</v>
      </c>
    </row>
    <row r="354">
      <c r="A354" s="1" t="s">
        <v>73</v>
      </c>
      <c r="B354" s="1" t="s">
        <v>25</v>
      </c>
      <c r="C354" s="1" t="s">
        <v>75</v>
      </c>
      <c r="D354" s="1" t="str">
        <f>Vlookup(C354,'Oil &amp; Gas Documents - Canada'!F:M,2,FALSE)</f>
        <v>oil_and_gas</v>
      </c>
      <c r="E354" s="1" t="str">
        <f>Vlookup(C354,'Oil &amp; Gas Documents - Canada'!F:N,9,FALSE)</f>
        <v/>
      </c>
      <c r="F354" s="1" t="s">
        <v>74</v>
      </c>
      <c r="G354" s="4" t="str">
        <f t="shared" ref="G354:G356" si="9">HYPERLINK("http://nimonikapp.com/legislations/10243","http://nimonikapp.com/legislations/10243")</f>
        <v>http://nimonikapp.com/legislations/10243</v>
      </c>
      <c r="H354" s="1" t="s">
        <v>18</v>
      </c>
      <c r="I354" s="1" t="s">
        <v>226</v>
      </c>
      <c r="J354" s="1" t="s">
        <v>227</v>
      </c>
      <c r="K354" s="5">
        <v>44519.0</v>
      </c>
      <c r="L354" s="5">
        <v>44519.0</v>
      </c>
      <c r="M354" s="5">
        <v>44839.0</v>
      </c>
      <c r="N354" s="1" t="s">
        <v>76</v>
      </c>
    </row>
    <row r="355">
      <c r="A355" s="1" t="s">
        <v>73</v>
      </c>
      <c r="B355" s="1" t="s">
        <v>25</v>
      </c>
      <c r="C355" s="1" t="s">
        <v>75</v>
      </c>
      <c r="D355" s="1" t="str">
        <f>Vlookup(C355,'Oil &amp; Gas Documents - Canada'!F:M,2,FALSE)</f>
        <v>oil_and_gas</v>
      </c>
      <c r="E355" s="1" t="str">
        <f>Vlookup(C355,'Oil &amp; Gas Documents - Canada'!F:N,9,FALSE)</f>
        <v/>
      </c>
      <c r="F355" s="1" t="s">
        <v>74</v>
      </c>
      <c r="G355" s="4" t="str">
        <f t="shared" si="9"/>
        <v>http://nimonikapp.com/legislations/10243</v>
      </c>
      <c r="H355" s="1" t="s">
        <v>18</v>
      </c>
      <c r="I355" s="1" t="s">
        <v>228</v>
      </c>
      <c r="J355" s="1" t="s">
        <v>229</v>
      </c>
      <c r="K355" s="5">
        <v>44587.0</v>
      </c>
      <c r="L355" s="5">
        <v>44587.0</v>
      </c>
      <c r="M355" s="5">
        <v>44839.0</v>
      </c>
      <c r="N355" s="1" t="s">
        <v>76</v>
      </c>
    </row>
    <row r="356">
      <c r="A356" s="1" t="s">
        <v>73</v>
      </c>
      <c r="B356" s="1" t="s">
        <v>25</v>
      </c>
      <c r="C356" s="1" t="s">
        <v>75</v>
      </c>
      <c r="D356" s="1" t="str">
        <f>Vlookup(C356,'Oil &amp; Gas Documents - Canada'!F:M,2,FALSE)</f>
        <v>oil_and_gas</v>
      </c>
      <c r="E356" s="1" t="str">
        <f>Vlookup(C356,'Oil &amp; Gas Documents - Canada'!F:N,9,FALSE)</f>
        <v/>
      </c>
      <c r="F356" s="1" t="s">
        <v>74</v>
      </c>
      <c r="G356" s="4" t="str">
        <f t="shared" si="9"/>
        <v>http://nimonikapp.com/legislations/10243</v>
      </c>
      <c r="H356" s="1" t="s">
        <v>18</v>
      </c>
      <c r="I356" s="1" t="s">
        <v>230</v>
      </c>
      <c r="J356" s="1" t="s">
        <v>231</v>
      </c>
      <c r="K356" s="5">
        <v>44804.0</v>
      </c>
      <c r="L356" s="5">
        <v>44804.0</v>
      </c>
      <c r="M356" s="5">
        <v>44839.0</v>
      </c>
      <c r="N356" s="1" t="s">
        <v>76</v>
      </c>
    </row>
    <row r="357" hidden="1">
      <c r="A357" s="1" t="s">
        <v>73</v>
      </c>
      <c r="B357" s="1" t="s">
        <v>15</v>
      </c>
      <c r="C357" s="1" t="s">
        <v>1731</v>
      </c>
      <c r="D357" s="1" t="str">
        <f>Vlookup(C357,'Oil &amp; Gas Documents - Canada'!F:M,2,FALSE)</f>
        <v>#N/A</v>
      </c>
      <c r="E357" s="1" t="str">
        <f>Vlookup(C357,'Oil &amp; Gas Documents - Canada'!F:N,9,FALSE)</f>
        <v>#N/A</v>
      </c>
      <c r="F357" s="1" t="s">
        <v>1732</v>
      </c>
      <c r="G357" s="4" t="str">
        <f>HYPERLINK("http://nimonikapp.com/legislations/310130","http://nimonikapp.com/legislations/310130")</f>
        <v>http://nimonikapp.com/legislations/310130</v>
      </c>
      <c r="H357" s="1" t="s">
        <v>18</v>
      </c>
      <c r="I357" s="1" t="s">
        <v>1733</v>
      </c>
      <c r="J357" s="1" t="s">
        <v>1734</v>
      </c>
      <c r="K357" s="5">
        <v>44690.0</v>
      </c>
      <c r="L357" s="5">
        <v>44835.0</v>
      </c>
      <c r="M357" s="5">
        <v>44839.0</v>
      </c>
      <c r="N357" s="1" t="s">
        <v>1735</v>
      </c>
    </row>
    <row r="358" hidden="1">
      <c r="A358" s="1" t="s">
        <v>73</v>
      </c>
      <c r="B358" s="1" t="s">
        <v>15</v>
      </c>
      <c r="C358" s="1" t="s">
        <v>1736</v>
      </c>
      <c r="D358" s="1" t="str">
        <f>Vlookup(C358,'Oil &amp; Gas Documents - Canada'!F:M,2,FALSE)</f>
        <v>#N/A</v>
      </c>
      <c r="E358" s="1" t="str">
        <f>Vlookup(C358,'Oil &amp; Gas Documents - Canada'!F:N,9,FALSE)</f>
        <v>#N/A</v>
      </c>
      <c r="F358" s="1" t="s">
        <v>1737</v>
      </c>
      <c r="G358" s="4" t="str">
        <f>HYPERLINK("http://nimonikapp.com/legislations/310131","http://nimonikapp.com/legislations/310131")</f>
        <v>http://nimonikapp.com/legislations/310131</v>
      </c>
      <c r="H358" s="1" t="s">
        <v>18</v>
      </c>
      <c r="I358" s="1" t="s">
        <v>1738</v>
      </c>
      <c r="J358" s="1" t="s">
        <v>1739</v>
      </c>
      <c r="K358" s="5">
        <v>44712.0</v>
      </c>
      <c r="L358" s="5">
        <v>45077.0</v>
      </c>
      <c r="M358" s="5">
        <v>44839.0</v>
      </c>
      <c r="N358" s="1" t="s">
        <v>1740</v>
      </c>
    </row>
    <row r="359" hidden="1">
      <c r="A359" s="1" t="s">
        <v>202</v>
      </c>
      <c r="B359" s="1" t="s">
        <v>25</v>
      </c>
      <c r="C359" s="1" t="s">
        <v>1741</v>
      </c>
      <c r="D359" s="1" t="str">
        <f>Vlookup(C359,'Oil &amp; Gas Documents - Canada'!F:M,2,FALSE)</f>
        <v>#N/A</v>
      </c>
      <c r="E359" s="1" t="str">
        <f>Vlookup(C359,'Oil &amp; Gas Documents - Canada'!F:N,9,FALSE)</f>
        <v>#N/A</v>
      </c>
      <c r="F359" s="1" t="s">
        <v>1742</v>
      </c>
      <c r="G359" s="4" t="str">
        <f>HYPERLINK("http://nimonikapp.com/legislations/1072","http://nimonikapp.com/legislations/1072")</f>
        <v>http://nimonikapp.com/legislations/1072</v>
      </c>
      <c r="H359" s="1" t="s">
        <v>18</v>
      </c>
      <c r="I359" s="1" t="s">
        <v>1743</v>
      </c>
      <c r="J359" s="1" t="s">
        <v>1744</v>
      </c>
      <c r="K359" s="5">
        <v>44839.0</v>
      </c>
      <c r="M359" s="5">
        <v>44839.0</v>
      </c>
      <c r="N359" s="1" t="s">
        <v>1745</v>
      </c>
    </row>
    <row r="360" hidden="1">
      <c r="A360" s="1" t="s">
        <v>73</v>
      </c>
      <c r="B360" s="1" t="s">
        <v>15</v>
      </c>
      <c r="C360" s="1" t="s">
        <v>1746</v>
      </c>
      <c r="D360" s="1" t="str">
        <f>Vlookup(C360,'Oil &amp; Gas Documents - Canada'!F:M,2,FALSE)</f>
        <v>#N/A</v>
      </c>
      <c r="E360" s="1" t="str">
        <f>Vlookup(C360,'Oil &amp; Gas Documents - Canada'!F:N,9,FALSE)</f>
        <v>#N/A</v>
      </c>
      <c r="F360" s="1" t="s">
        <v>1747</v>
      </c>
      <c r="G360" s="4" t="str">
        <f>HYPERLINK("http://nimonikapp.com/legislations/13490","http://nimonikapp.com/legislations/13490")</f>
        <v>http://nimonikapp.com/legislations/13490</v>
      </c>
      <c r="H360" s="1" t="s">
        <v>18</v>
      </c>
      <c r="I360" s="1" t="s">
        <v>1748</v>
      </c>
      <c r="J360" s="1" t="s">
        <v>1749</v>
      </c>
      <c r="K360" s="5">
        <v>44690.0</v>
      </c>
      <c r="L360" s="5">
        <v>44835.0</v>
      </c>
      <c r="M360" s="5">
        <v>44839.0</v>
      </c>
      <c r="N360" s="1" t="s">
        <v>1750</v>
      </c>
    </row>
    <row r="361" hidden="1">
      <c r="A361" s="1" t="s">
        <v>557</v>
      </c>
      <c r="B361" s="1" t="s">
        <v>15</v>
      </c>
      <c r="C361" s="1" t="s">
        <v>1751</v>
      </c>
      <c r="D361" s="1" t="str">
        <f>Vlookup(C361,'Oil &amp; Gas Documents - Canada'!F:M,2,FALSE)</f>
        <v>#N/A</v>
      </c>
      <c r="E361" s="1" t="str">
        <f>Vlookup(C361,'Oil &amp; Gas Documents - Canada'!F:N,9,FALSE)</f>
        <v>#N/A</v>
      </c>
      <c r="F361" s="1" t="s">
        <v>1752</v>
      </c>
      <c r="G361" s="4" t="str">
        <f>HYPERLINK("http://nimonikapp.com/legislations/375424","http://nimonikapp.com/legislations/375424")</f>
        <v>http://nimonikapp.com/legislations/375424</v>
      </c>
      <c r="H361" s="1" t="s">
        <v>18</v>
      </c>
      <c r="K361" s="5">
        <v>44834.0</v>
      </c>
      <c r="L361" s="5">
        <v>44810.0</v>
      </c>
      <c r="M361" s="5">
        <v>44838.0</v>
      </c>
    </row>
    <row r="362" hidden="1">
      <c r="A362" s="1" t="s">
        <v>1105</v>
      </c>
      <c r="B362" s="1" t="s">
        <v>15</v>
      </c>
      <c r="C362" s="1" t="s">
        <v>1753</v>
      </c>
      <c r="D362" s="1" t="str">
        <f>Vlookup(C362,'Oil &amp; Gas Documents - Canada'!F:M,2,FALSE)</f>
        <v>#N/A</v>
      </c>
      <c r="E362" s="1" t="str">
        <f>Vlookup(C362,'Oil &amp; Gas Documents - Canada'!F:N,9,FALSE)</f>
        <v>#N/A</v>
      </c>
      <c r="F362" s="1" t="s">
        <v>1754</v>
      </c>
      <c r="G362" s="4" t="str">
        <f>HYPERLINK("http://nimonikapp.com/legislations/375425","http://nimonikapp.com/legislations/375425")</f>
        <v>http://nimonikapp.com/legislations/375425</v>
      </c>
      <c r="H362" s="1" t="s">
        <v>18</v>
      </c>
      <c r="K362" s="5">
        <v>44818.0</v>
      </c>
      <c r="L362" s="5">
        <v>44826.0</v>
      </c>
      <c r="M362" s="5">
        <v>44838.0</v>
      </c>
    </row>
    <row r="363">
      <c r="A363" s="1" t="s">
        <v>21</v>
      </c>
      <c r="B363" s="1" t="s">
        <v>25</v>
      </c>
      <c r="C363" s="1" t="s">
        <v>233</v>
      </c>
      <c r="D363" s="1" t="str">
        <f>Vlookup(C363,'Oil &amp; Gas Documents - Canada'!F:M,2,FALSE)</f>
        <v>oil_and_gas</v>
      </c>
      <c r="E363" s="1" t="str">
        <f>Vlookup(C363,'Oil &amp; Gas Documents - Canada'!F:N,9,FALSE)</f>
        <v/>
      </c>
      <c r="F363" s="1" t="s">
        <v>232</v>
      </c>
      <c r="G363" s="4" t="str">
        <f>HYPERLINK("http://nimonikapp.com/legislations/91195","http://nimonikapp.com/legislations/91195")</f>
        <v>http://nimonikapp.com/legislations/91195</v>
      </c>
      <c r="H363" s="1" t="s">
        <v>18</v>
      </c>
      <c r="I363" s="1" t="s">
        <v>235</v>
      </c>
      <c r="J363" s="1" t="s">
        <v>236</v>
      </c>
      <c r="K363" s="5">
        <v>44837.0</v>
      </c>
      <c r="L363" s="5">
        <v>44837.0</v>
      </c>
      <c r="M363" s="5">
        <v>44837.0</v>
      </c>
      <c r="N363" s="1" t="s">
        <v>234</v>
      </c>
    </row>
    <row r="364" hidden="1">
      <c r="A364" s="1" t="s">
        <v>21</v>
      </c>
      <c r="B364" s="1" t="s">
        <v>25</v>
      </c>
      <c r="C364" s="1" t="s">
        <v>1299</v>
      </c>
      <c r="D364" s="1" t="str">
        <f>Vlookup(C364,'Oil &amp; Gas Documents - Canada'!F:M,2,FALSE)</f>
        <v>#N/A</v>
      </c>
      <c r="E364" s="1" t="str">
        <f>Vlookup(C364,'Oil &amp; Gas Documents - Canada'!F:N,9,FALSE)</f>
        <v>#N/A</v>
      </c>
      <c r="F364" s="1" t="s">
        <v>1300</v>
      </c>
      <c r="G364" s="4" t="str">
        <f>HYPERLINK("http://nimonikapp.com/legislations/4027","http://nimonikapp.com/legislations/4027")</f>
        <v>http://nimonikapp.com/legislations/4027</v>
      </c>
      <c r="H364" s="1" t="s">
        <v>18</v>
      </c>
      <c r="I364" s="1" t="s">
        <v>1755</v>
      </c>
      <c r="J364" s="1" t="s">
        <v>1756</v>
      </c>
      <c r="K364" s="5">
        <v>44834.0</v>
      </c>
      <c r="L364" s="5">
        <v>44820.0</v>
      </c>
      <c r="M364" s="5">
        <v>44834.0</v>
      </c>
      <c r="N364" s="1" t="s">
        <v>1301</v>
      </c>
    </row>
    <row r="365" hidden="1">
      <c r="A365" s="1" t="s">
        <v>202</v>
      </c>
      <c r="B365" s="1" t="s">
        <v>25</v>
      </c>
      <c r="C365" s="1" t="s">
        <v>1757</v>
      </c>
      <c r="D365" s="1" t="str">
        <f>Vlookup(C365,'Oil &amp; Gas Documents - Canada'!F:M,2,FALSE)</f>
        <v>#N/A</v>
      </c>
      <c r="E365" s="1" t="str">
        <f>Vlookup(C365,'Oil &amp; Gas Documents - Canada'!F:N,9,FALSE)</f>
        <v>#N/A</v>
      </c>
      <c r="F365" s="1" t="s">
        <v>1758</v>
      </c>
      <c r="G365" s="4" t="str">
        <f>HYPERLINK("http://nimonikapp.com/legislations/98078","http://nimonikapp.com/legislations/98078")</f>
        <v>http://nimonikapp.com/legislations/98078</v>
      </c>
      <c r="H365" s="1" t="s">
        <v>18</v>
      </c>
      <c r="I365" s="1" t="s">
        <v>1759</v>
      </c>
      <c r="J365" s="1" t="s">
        <v>1760</v>
      </c>
      <c r="K365" s="5">
        <v>44832.0</v>
      </c>
      <c r="L365" s="5">
        <v>44847.0</v>
      </c>
      <c r="M365" s="5">
        <v>44832.0</v>
      </c>
      <c r="N365" s="1" t="s">
        <v>1761</v>
      </c>
    </row>
    <row r="366" hidden="1">
      <c r="A366" s="1" t="s">
        <v>73</v>
      </c>
      <c r="B366" s="1" t="s">
        <v>25</v>
      </c>
      <c r="C366" s="1" t="s">
        <v>1762</v>
      </c>
      <c r="D366" s="1" t="str">
        <f>Vlookup(C366,'Oil &amp; Gas Documents - Canada'!F:M,2,FALSE)</f>
        <v>#N/A</v>
      </c>
      <c r="E366" s="1" t="str">
        <f>Vlookup(C366,'Oil &amp; Gas Documents - Canada'!F:N,9,FALSE)</f>
        <v>#N/A</v>
      </c>
      <c r="F366" s="1" t="s">
        <v>1763</v>
      </c>
      <c r="G366" s="4" t="str">
        <f>HYPERLINK("http://nimonikapp.com/legislations/6187","http://nimonikapp.com/legislations/6187")</f>
        <v>http://nimonikapp.com/legislations/6187</v>
      </c>
      <c r="H366" s="1" t="s">
        <v>18</v>
      </c>
      <c r="I366" s="1" t="s">
        <v>1764</v>
      </c>
      <c r="J366" s="1" t="s">
        <v>1765</v>
      </c>
      <c r="K366" s="5">
        <v>44807.0</v>
      </c>
      <c r="L366" s="5">
        <v>44807.0</v>
      </c>
      <c r="M366" s="5">
        <v>44832.0</v>
      </c>
      <c r="N366" s="1" t="s">
        <v>1766</v>
      </c>
    </row>
    <row r="367" hidden="1">
      <c r="A367" s="1" t="s">
        <v>70</v>
      </c>
      <c r="B367" s="1" t="s">
        <v>15</v>
      </c>
      <c r="C367" s="1" t="s">
        <v>1767</v>
      </c>
      <c r="D367" s="1" t="str">
        <f>Vlookup(C367,'Oil &amp; Gas Documents - Canada'!F:M,2,FALSE)</f>
        <v>#N/A</v>
      </c>
      <c r="E367" s="1" t="str">
        <f>Vlookup(C367,'Oil &amp; Gas Documents - Canada'!F:N,9,FALSE)</f>
        <v>#N/A</v>
      </c>
      <c r="F367" s="1" t="s">
        <v>1768</v>
      </c>
      <c r="G367" s="4" t="str">
        <f>HYPERLINK("http://nimonikapp.com/legislations/374054","http://nimonikapp.com/legislations/374054")</f>
        <v>http://nimonikapp.com/legislations/374054</v>
      </c>
      <c r="H367" s="1" t="s">
        <v>69</v>
      </c>
      <c r="K367" s="5">
        <v>44826.0</v>
      </c>
      <c r="M367" s="5">
        <v>44831.0</v>
      </c>
    </row>
    <row r="368" hidden="1">
      <c r="A368" s="1" t="s">
        <v>14</v>
      </c>
      <c r="B368" s="1" t="s">
        <v>25</v>
      </c>
      <c r="C368" s="1" t="s">
        <v>1769</v>
      </c>
      <c r="D368" s="1" t="str">
        <f>Vlookup(C368,'Oil &amp; Gas Documents - Canada'!F:M,2,FALSE)</f>
        <v>#N/A</v>
      </c>
      <c r="E368" s="1" t="str">
        <f>Vlookup(C368,'Oil &amp; Gas Documents - Canada'!F:N,9,FALSE)</f>
        <v>#N/A</v>
      </c>
      <c r="F368" s="1" t="s">
        <v>1770</v>
      </c>
      <c r="G368" s="4" t="str">
        <f>HYPERLINK("http://nimonikapp.com/legislations/118475","http://nimonikapp.com/legislations/118475")</f>
        <v>http://nimonikapp.com/legislations/118475</v>
      </c>
      <c r="H368" s="1" t="s">
        <v>18</v>
      </c>
      <c r="I368" s="1" t="s">
        <v>1771</v>
      </c>
      <c r="J368" s="1" t="s">
        <v>1772</v>
      </c>
      <c r="K368" s="5">
        <v>44827.0</v>
      </c>
      <c r="M368" s="5">
        <v>44831.0</v>
      </c>
      <c r="N368" s="1" t="s">
        <v>1773</v>
      </c>
    </row>
    <row r="369" hidden="1">
      <c r="A369" s="1" t="s">
        <v>73</v>
      </c>
      <c r="B369" s="1" t="s">
        <v>364</v>
      </c>
      <c r="C369" s="1" t="s">
        <v>1774</v>
      </c>
      <c r="D369" s="1" t="str">
        <f>Vlookup(C369,'Oil &amp; Gas Documents - Canada'!F:M,2,FALSE)</f>
        <v>#N/A</v>
      </c>
      <c r="E369" s="1" t="str">
        <f>Vlookup(C369,'Oil &amp; Gas Documents - Canada'!F:N,9,FALSE)</f>
        <v>#N/A</v>
      </c>
      <c r="F369" s="1" t="s">
        <v>1775</v>
      </c>
      <c r="G369" s="4" t="str">
        <f>HYPERLINK("http://nimonikapp.com/legislations/371363","http://nimonikapp.com/legislations/371363")</f>
        <v>http://nimonikapp.com/legislations/371363</v>
      </c>
      <c r="H369" s="1" t="s">
        <v>356</v>
      </c>
      <c r="I369" s="1" t="s">
        <v>1720</v>
      </c>
      <c r="J369" s="1" t="s">
        <v>1721</v>
      </c>
      <c r="K369" s="5">
        <v>44828.0</v>
      </c>
      <c r="L369" s="5">
        <v>44813.0</v>
      </c>
      <c r="M369" s="5">
        <v>44831.0</v>
      </c>
      <c r="N369" s="1" t="s">
        <v>1776</v>
      </c>
    </row>
    <row r="370" hidden="1">
      <c r="A370" s="1" t="s">
        <v>24</v>
      </c>
      <c r="B370" s="1" t="s">
        <v>25</v>
      </c>
      <c r="C370" s="1" t="s">
        <v>1545</v>
      </c>
      <c r="D370" s="1" t="str">
        <f>Vlookup(C370,'Oil &amp; Gas Documents - Canada'!F:M,2,FALSE)</f>
        <v>#N/A</v>
      </c>
      <c r="E370" s="1" t="str">
        <f>Vlookup(C370,'Oil &amp; Gas Documents - Canada'!F:N,9,FALSE)</f>
        <v>#N/A</v>
      </c>
      <c r="F370" s="1" t="s">
        <v>1546</v>
      </c>
      <c r="G370" s="4" t="str">
        <f>HYPERLINK("http://nimonikapp.com/legislations/1479","http://nimonikapp.com/legislations/1479")</f>
        <v>http://nimonikapp.com/legislations/1479</v>
      </c>
      <c r="H370" s="1" t="s">
        <v>18</v>
      </c>
      <c r="I370" s="1" t="s">
        <v>1777</v>
      </c>
      <c r="J370" s="1" t="s">
        <v>1778</v>
      </c>
      <c r="K370" s="5">
        <v>44824.0</v>
      </c>
      <c r="L370" s="5">
        <v>44615.0</v>
      </c>
      <c r="M370" s="5">
        <v>44827.0</v>
      </c>
      <c r="N370" s="1" t="s">
        <v>1549</v>
      </c>
    </row>
    <row r="371" hidden="1">
      <c r="A371" s="1" t="s">
        <v>1105</v>
      </c>
      <c r="B371" s="1" t="s">
        <v>15</v>
      </c>
      <c r="C371" s="1" t="s">
        <v>1779</v>
      </c>
      <c r="D371" s="1" t="str">
        <f>Vlookup(C371,'Oil &amp; Gas Documents - Canada'!F:M,2,FALSE)</f>
        <v>#N/A</v>
      </c>
      <c r="E371" s="1" t="str">
        <f>Vlookup(C371,'Oil &amp; Gas Documents - Canada'!F:N,9,FALSE)</f>
        <v>#N/A</v>
      </c>
      <c r="F371" s="1" t="s">
        <v>1780</v>
      </c>
      <c r="G371" s="4" t="str">
        <f>HYPERLINK("http://nimonikapp.com/legislations/373397","http://nimonikapp.com/legislations/373397")</f>
        <v>http://nimonikapp.com/legislations/373397</v>
      </c>
      <c r="H371" s="1" t="s">
        <v>69</v>
      </c>
      <c r="K371" s="5">
        <v>44825.0</v>
      </c>
      <c r="M371" s="5">
        <v>44826.0</v>
      </c>
    </row>
    <row r="372" hidden="1">
      <c r="A372" s="1" t="s">
        <v>14</v>
      </c>
      <c r="B372" s="1" t="s">
        <v>15</v>
      </c>
      <c r="C372" s="1" t="s">
        <v>1781</v>
      </c>
      <c r="D372" s="1" t="str">
        <f>Vlookup(C372,'Oil &amp; Gas Documents - Canada'!F:M,2,FALSE)</f>
        <v>#N/A</v>
      </c>
      <c r="E372" s="1" t="str">
        <f>Vlookup(C372,'Oil &amp; Gas Documents - Canada'!F:N,9,FALSE)</f>
        <v>#N/A</v>
      </c>
      <c r="F372" s="1" t="s">
        <v>1782</v>
      </c>
      <c r="G372" s="4" t="str">
        <f>HYPERLINK("http://nimonikapp.com/legislations/373396","http://nimonikapp.com/legislations/373396")</f>
        <v>http://nimonikapp.com/legislations/373396</v>
      </c>
      <c r="H372" s="1" t="s">
        <v>69</v>
      </c>
      <c r="K372" s="5">
        <v>44821.0</v>
      </c>
      <c r="M372" s="5">
        <v>44826.0</v>
      </c>
    </row>
    <row r="373" hidden="1">
      <c r="A373" s="1" t="s">
        <v>99</v>
      </c>
      <c r="B373" s="1" t="s">
        <v>15</v>
      </c>
      <c r="C373" s="1" t="s">
        <v>1783</v>
      </c>
      <c r="D373" s="1" t="str">
        <f>Vlookup(C373,'Oil &amp; Gas Documents - Canada'!F:M,2,FALSE)</f>
        <v>#N/A</v>
      </c>
      <c r="E373" s="1" t="str">
        <f>Vlookup(C373,'Oil &amp; Gas Documents - Canada'!F:N,9,FALSE)</f>
        <v>#N/A</v>
      </c>
      <c r="F373" s="1" t="s">
        <v>1784</v>
      </c>
      <c r="G373" s="4" t="str">
        <f>HYPERLINK("http://nimonikapp.com/legislations/373279","http://nimonikapp.com/legislations/373279")</f>
        <v>http://nimonikapp.com/legislations/373279</v>
      </c>
      <c r="H373" s="1" t="s">
        <v>69</v>
      </c>
      <c r="K373" s="5">
        <v>44818.0</v>
      </c>
      <c r="M373" s="5">
        <v>44826.0</v>
      </c>
    </row>
    <row r="374" hidden="1">
      <c r="A374" s="1" t="s">
        <v>202</v>
      </c>
      <c r="B374" s="1" t="s">
        <v>25</v>
      </c>
      <c r="C374" s="1" t="s">
        <v>1785</v>
      </c>
      <c r="D374" s="1" t="str">
        <f>Vlookup(C374,'Oil &amp; Gas Documents - Canada'!F:M,2,FALSE)</f>
        <v>#N/A</v>
      </c>
      <c r="E374" s="1" t="str">
        <f>Vlookup(C374,'Oil &amp; Gas Documents - Canada'!F:N,9,FALSE)</f>
        <v>#N/A</v>
      </c>
      <c r="F374" s="1" t="s">
        <v>1786</v>
      </c>
      <c r="G374" s="4" t="str">
        <f>HYPERLINK("http://nimonikapp.com/legislations/120137","http://nimonikapp.com/legislations/120137")</f>
        <v>http://nimonikapp.com/legislations/120137</v>
      </c>
      <c r="H374" s="1" t="s">
        <v>18</v>
      </c>
      <c r="I374" s="1" t="s">
        <v>1787</v>
      </c>
      <c r="J374" s="1" t="s">
        <v>1788</v>
      </c>
      <c r="K374" s="5">
        <v>44811.0</v>
      </c>
      <c r="L374" s="5">
        <v>44826.0</v>
      </c>
      <c r="M374" s="5">
        <v>44826.0</v>
      </c>
      <c r="N374" s="1" t="s">
        <v>1789</v>
      </c>
    </row>
    <row r="375" hidden="1">
      <c r="A375" s="1" t="s">
        <v>73</v>
      </c>
      <c r="B375" s="1" t="s">
        <v>25</v>
      </c>
      <c r="C375" s="1" t="s">
        <v>1762</v>
      </c>
      <c r="D375" s="1" t="str">
        <f>Vlookup(C375,'Oil &amp; Gas Documents - Canada'!F:M,2,FALSE)</f>
        <v>#N/A</v>
      </c>
      <c r="E375" s="1" t="str">
        <f>Vlookup(C375,'Oil &amp; Gas Documents - Canada'!F:N,9,FALSE)</f>
        <v>#N/A</v>
      </c>
      <c r="F375" s="1" t="s">
        <v>1763</v>
      </c>
      <c r="G375" s="4" t="str">
        <f>HYPERLINK("http://nimonikapp.com/legislations/6187","http://nimonikapp.com/legislations/6187")</f>
        <v>http://nimonikapp.com/legislations/6187</v>
      </c>
      <c r="H375" s="1" t="s">
        <v>18</v>
      </c>
      <c r="I375" s="1" t="s">
        <v>1790</v>
      </c>
      <c r="J375" s="1" t="s">
        <v>1791</v>
      </c>
      <c r="K375" s="5">
        <v>44821.0</v>
      </c>
      <c r="L375" s="5">
        <v>44821.0</v>
      </c>
      <c r="M375" s="5">
        <v>44820.0</v>
      </c>
      <c r="N375" s="1" t="s">
        <v>1766</v>
      </c>
    </row>
    <row r="376">
      <c r="A376" s="1" t="s">
        <v>21</v>
      </c>
      <c r="B376" s="1" t="s">
        <v>25</v>
      </c>
      <c r="C376" s="1" t="s">
        <v>238</v>
      </c>
      <c r="D376" s="1" t="str">
        <f>Vlookup(C376,'Oil &amp; Gas Documents - Canada'!F:M,2,FALSE)</f>
        <v>oil_and_gas</v>
      </c>
      <c r="E376" s="1" t="str">
        <f>Vlookup(C376,'Oil &amp; Gas Documents - Canada'!F:N,9,FALSE)</f>
        <v/>
      </c>
      <c r="F376" s="1" t="s">
        <v>237</v>
      </c>
      <c r="G376" s="4" t="str">
        <f>HYPERLINK("http://nimonikapp.com/legislations/4055","http://nimonikapp.com/legislations/4055")</f>
        <v>http://nimonikapp.com/legislations/4055</v>
      </c>
      <c r="H376" s="1" t="s">
        <v>18</v>
      </c>
      <c r="I376" s="1" t="s">
        <v>240</v>
      </c>
      <c r="J376" s="1" t="s">
        <v>241</v>
      </c>
      <c r="K376" s="5">
        <v>44810.0</v>
      </c>
      <c r="L376" s="5">
        <v>44810.0</v>
      </c>
      <c r="M376" s="5">
        <v>44820.0</v>
      </c>
      <c r="N376" s="1" t="s">
        <v>239</v>
      </c>
    </row>
    <row r="377" hidden="1">
      <c r="A377" s="1" t="s">
        <v>73</v>
      </c>
      <c r="B377" s="1" t="s">
        <v>25</v>
      </c>
      <c r="C377" s="1" t="s">
        <v>1033</v>
      </c>
      <c r="D377" s="1" t="str">
        <f>Vlookup(C377,'Oil &amp; Gas Documents - Canada'!F:M,2,FALSE)</f>
        <v>#N/A</v>
      </c>
      <c r="E377" s="1" t="str">
        <f>Vlookup(C377,'Oil &amp; Gas Documents - Canada'!F:N,9,FALSE)</f>
        <v>#N/A</v>
      </c>
      <c r="F377" s="1" t="s">
        <v>1034</v>
      </c>
      <c r="G377" s="4" t="str">
        <f>HYPERLINK("http://nimonikapp.com/legislations/895","http://nimonikapp.com/legislations/895")</f>
        <v>http://nimonikapp.com/legislations/895</v>
      </c>
      <c r="H377" s="1" t="s">
        <v>18</v>
      </c>
      <c r="I377" s="1" t="s">
        <v>1792</v>
      </c>
      <c r="J377" s="1" t="s">
        <v>1793</v>
      </c>
      <c r="K377" s="5">
        <v>44818.0</v>
      </c>
      <c r="L377" s="5">
        <v>44797.0</v>
      </c>
      <c r="M377" s="5">
        <v>44819.0</v>
      </c>
      <c r="N377" s="1" t="s">
        <v>1037</v>
      </c>
    </row>
    <row r="378" hidden="1">
      <c r="A378" s="1" t="s">
        <v>73</v>
      </c>
      <c r="B378" s="1" t="s">
        <v>25</v>
      </c>
      <c r="C378" s="1" t="s">
        <v>1069</v>
      </c>
      <c r="D378" s="1" t="str">
        <f>Vlookup(C378,'Oil &amp; Gas Documents - Canada'!F:M,2,FALSE)</f>
        <v>#N/A</v>
      </c>
      <c r="E378" s="1" t="str">
        <f>Vlookup(C378,'Oil &amp; Gas Documents - Canada'!F:N,9,FALSE)</f>
        <v>#N/A</v>
      </c>
      <c r="F378" s="1" t="s">
        <v>1070</v>
      </c>
      <c r="G378" s="4" t="str">
        <f>HYPERLINK("http://nimonikapp.com/legislations/897","http://nimonikapp.com/legislations/897")</f>
        <v>http://nimonikapp.com/legislations/897</v>
      </c>
      <c r="H378" s="1" t="s">
        <v>18</v>
      </c>
      <c r="I378" s="1" t="s">
        <v>1794</v>
      </c>
      <c r="J378" s="1" t="s">
        <v>1795</v>
      </c>
      <c r="K378" s="5">
        <v>44806.0</v>
      </c>
      <c r="L378" s="5">
        <v>44797.0</v>
      </c>
      <c r="M378" s="5">
        <v>44819.0</v>
      </c>
      <c r="N378" s="1" t="s">
        <v>1073</v>
      </c>
    </row>
    <row r="379" hidden="1">
      <c r="A379" s="1" t="s">
        <v>99</v>
      </c>
      <c r="B379" s="1" t="s">
        <v>15</v>
      </c>
      <c r="C379" s="1" t="s">
        <v>1796</v>
      </c>
      <c r="D379" s="1" t="str">
        <f>Vlookup(C379,'Oil &amp; Gas Documents - Canada'!F:M,2,FALSE)</f>
        <v>#N/A</v>
      </c>
      <c r="E379" s="1" t="str">
        <f>Vlookup(C379,'Oil &amp; Gas Documents - Canada'!F:N,9,FALSE)</f>
        <v>#N/A</v>
      </c>
      <c r="F379" s="1" t="s">
        <v>1797</v>
      </c>
      <c r="G379" s="4" t="str">
        <f>HYPERLINK("http://nimonikapp.com/legislations/372288","http://nimonikapp.com/legislations/372288")</f>
        <v>http://nimonikapp.com/legislations/372288</v>
      </c>
      <c r="H379" s="1" t="s">
        <v>18</v>
      </c>
      <c r="K379" s="5">
        <v>44665.0</v>
      </c>
      <c r="M379" s="5">
        <v>44817.0</v>
      </c>
    </row>
    <row r="380" hidden="1">
      <c r="A380" s="1" t="s">
        <v>99</v>
      </c>
      <c r="B380" s="1" t="s">
        <v>15</v>
      </c>
      <c r="C380" s="1" t="s">
        <v>1798</v>
      </c>
      <c r="D380" s="1" t="str">
        <f>Vlookup(C380,'Oil &amp; Gas Documents - Canada'!F:M,2,FALSE)</f>
        <v>#N/A</v>
      </c>
      <c r="E380" s="1" t="str">
        <f>Vlookup(C380,'Oil &amp; Gas Documents - Canada'!F:N,9,FALSE)</f>
        <v>#N/A</v>
      </c>
      <c r="F380" s="1" t="s">
        <v>1799</v>
      </c>
      <c r="G380" s="4" t="str">
        <f>HYPERLINK("http://nimonikapp.com/legislations/372287","http://nimonikapp.com/legislations/372287")</f>
        <v>http://nimonikapp.com/legislations/372287</v>
      </c>
      <c r="H380" s="1" t="s">
        <v>18</v>
      </c>
      <c r="K380" s="5">
        <v>44774.0</v>
      </c>
      <c r="M380" s="5">
        <v>44817.0</v>
      </c>
    </row>
    <row r="381" hidden="1">
      <c r="A381" s="1" t="s">
        <v>99</v>
      </c>
      <c r="B381" s="1" t="s">
        <v>15</v>
      </c>
      <c r="C381" s="1" t="s">
        <v>1800</v>
      </c>
      <c r="D381" s="1" t="str">
        <f>Vlookup(C381,'Oil &amp; Gas Documents - Canada'!F:M,2,FALSE)</f>
        <v>#N/A</v>
      </c>
      <c r="E381" s="1" t="str">
        <f>Vlookup(C381,'Oil &amp; Gas Documents - Canada'!F:N,9,FALSE)</f>
        <v>#N/A</v>
      </c>
      <c r="F381" s="1" t="s">
        <v>1801</v>
      </c>
      <c r="G381" s="4" t="str">
        <f>HYPERLINK("http://nimonikapp.com/legislations/372167","http://nimonikapp.com/legislations/372167")</f>
        <v>http://nimonikapp.com/legislations/372167</v>
      </c>
      <c r="H381" s="1" t="s">
        <v>18</v>
      </c>
      <c r="K381" s="5">
        <v>44771.0</v>
      </c>
      <c r="M381" s="5">
        <v>44817.0</v>
      </c>
    </row>
    <row r="382" hidden="1">
      <c r="A382" s="1" t="s">
        <v>70</v>
      </c>
      <c r="B382" s="1" t="s">
        <v>25</v>
      </c>
      <c r="C382" s="1" t="s">
        <v>1802</v>
      </c>
      <c r="D382" s="1" t="str">
        <f>Vlookup(C382,'Oil &amp; Gas Documents - Canada'!F:M,2,FALSE)</f>
        <v>#N/A</v>
      </c>
      <c r="E382" s="1" t="str">
        <f>Vlookup(C382,'Oil &amp; Gas Documents - Canada'!F:N,9,FALSE)</f>
        <v>#N/A</v>
      </c>
      <c r="F382" s="1" t="s">
        <v>1803</v>
      </c>
      <c r="G382" s="4" t="str">
        <f>HYPERLINK("http://nimonikapp.com/legislations/111","http://nimonikapp.com/legislations/111")</f>
        <v>http://nimonikapp.com/legislations/111</v>
      </c>
      <c r="H382" s="1" t="s">
        <v>18</v>
      </c>
      <c r="I382" s="1" t="s">
        <v>1804</v>
      </c>
      <c r="J382" s="1" t="s">
        <v>1805</v>
      </c>
      <c r="K382" s="5">
        <v>44812.0</v>
      </c>
      <c r="L382" s="5">
        <v>44812.0</v>
      </c>
      <c r="M382" s="5">
        <v>44817.0</v>
      </c>
    </row>
    <row r="383" hidden="1">
      <c r="A383" s="1" t="s">
        <v>70</v>
      </c>
      <c r="B383" s="1" t="s">
        <v>25</v>
      </c>
      <c r="C383" s="1" t="s">
        <v>1806</v>
      </c>
      <c r="D383" s="1" t="str">
        <f>Vlookup(C383,'Oil &amp; Gas Documents - Canada'!F:M,2,FALSE)</f>
        <v>#N/A</v>
      </c>
      <c r="E383" s="1" t="str">
        <f>Vlookup(C383,'Oil &amp; Gas Documents - Canada'!F:N,9,FALSE)</f>
        <v>#N/A</v>
      </c>
      <c r="F383" s="1" t="s">
        <v>1807</v>
      </c>
      <c r="G383" s="4" t="str">
        <f>HYPERLINK("http://nimonikapp.com/legislations/128","http://nimonikapp.com/legislations/128")</f>
        <v>http://nimonikapp.com/legislations/128</v>
      </c>
      <c r="H383" s="1" t="s">
        <v>18</v>
      </c>
      <c r="I383" s="1" t="s">
        <v>1808</v>
      </c>
      <c r="J383" s="1" t="s">
        <v>1809</v>
      </c>
      <c r="K383" s="5">
        <v>44812.0</v>
      </c>
      <c r="L383" s="5">
        <v>44812.0</v>
      </c>
      <c r="M383" s="5">
        <v>44817.0</v>
      </c>
      <c r="N383" s="1" t="s">
        <v>1810</v>
      </c>
    </row>
    <row r="384">
      <c r="A384" s="1" t="s">
        <v>73</v>
      </c>
      <c r="B384" s="1" t="s">
        <v>15</v>
      </c>
      <c r="C384" s="1" t="s">
        <v>243</v>
      </c>
      <c r="D384" s="1" t="str">
        <f>Vlookup(C384,'Oil &amp; Gas Documents - Canada'!F:M,2,FALSE)</f>
        <v>oil_and_gas</v>
      </c>
      <c r="E384" s="1" t="str">
        <f>Vlookup(C384,'Oil &amp; Gas Documents - Canada'!F:N,9,FALSE)</f>
        <v/>
      </c>
      <c r="F384" s="1" t="s">
        <v>242</v>
      </c>
      <c r="G384" s="4" t="str">
        <f>HYPERLINK("http://nimonikapp.com/legislations/116984","http://nimonikapp.com/legislations/116984")</f>
        <v>http://nimonikapp.com/legislations/116984</v>
      </c>
      <c r="H384" s="1" t="s">
        <v>18</v>
      </c>
      <c r="I384" s="1" t="s">
        <v>245</v>
      </c>
      <c r="J384" s="1" t="s">
        <v>246</v>
      </c>
      <c r="K384" s="5">
        <v>44790.0</v>
      </c>
      <c r="L384" s="5">
        <v>44790.0</v>
      </c>
      <c r="M384" s="5">
        <v>44817.0</v>
      </c>
      <c r="N384" s="1" t="s">
        <v>244</v>
      </c>
    </row>
    <row r="385">
      <c r="A385" s="1" t="s">
        <v>73</v>
      </c>
      <c r="B385" s="1" t="s">
        <v>15</v>
      </c>
      <c r="C385" s="1" t="s">
        <v>248</v>
      </c>
      <c r="D385" s="1" t="str">
        <f>Vlookup(C385,'Oil &amp; Gas Documents - Canada'!F:M,2,FALSE)</f>
        <v>oil_and_gas</v>
      </c>
      <c r="E385" s="1" t="str">
        <f>Vlookup(C385,'Oil &amp; Gas Documents - Canada'!F:N,9,FALSE)</f>
        <v/>
      </c>
      <c r="F385" s="1" t="s">
        <v>247</v>
      </c>
      <c r="G385" s="4" t="str">
        <f>HYPERLINK("http://nimonikapp.com/legislations/116983","http://nimonikapp.com/legislations/116983")</f>
        <v>http://nimonikapp.com/legislations/116983</v>
      </c>
      <c r="H385" s="1" t="s">
        <v>18</v>
      </c>
      <c r="I385" s="1" t="s">
        <v>250</v>
      </c>
      <c r="J385" s="1" t="s">
        <v>251</v>
      </c>
      <c r="K385" s="5">
        <v>44789.0</v>
      </c>
      <c r="L385" s="5">
        <v>44789.0</v>
      </c>
      <c r="M385" s="5">
        <v>44817.0</v>
      </c>
      <c r="N385" s="1" t="s">
        <v>249</v>
      </c>
    </row>
    <row r="386">
      <c r="A386" s="1" t="s">
        <v>73</v>
      </c>
      <c r="B386" s="1" t="s">
        <v>15</v>
      </c>
      <c r="C386" s="1" t="s">
        <v>253</v>
      </c>
      <c r="D386" s="1" t="str">
        <f>Vlookup(C386,'Oil &amp; Gas Documents - Canada'!F:M,2,FALSE)</f>
        <v>oil_and_gas</v>
      </c>
      <c r="E386" s="1" t="str">
        <f>Vlookup(C386,'Oil &amp; Gas Documents - Canada'!F:N,9,FALSE)</f>
        <v/>
      </c>
      <c r="F386" s="1" t="s">
        <v>252</v>
      </c>
      <c r="G386" s="4" t="str">
        <f>HYPERLINK("http://nimonikapp.com/legislations/117072","http://nimonikapp.com/legislations/117072")</f>
        <v>http://nimonikapp.com/legislations/117072</v>
      </c>
      <c r="H386" s="1" t="s">
        <v>18</v>
      </c>
      <c r="I386" s="1" t="s">
        <v>255</v>
      </c>
      <c r="J386" s="1" t="s">
        <v>256</v>
      </c>
      <c r="K386" s="5">
        <v>44789.0</v>
      </c>
      <c r="L386" s="5">
        <v>44789.0</v>
      </c>
      <c r="M386" s="5">
        <v>44817.0</v>
      </c>
      <c r="N386" s="1" t="s">
        <v>254</v>
      </c>
    </row>
    <row r="387">
      <c r="A387" s="1" t="s">
        <v>73</v>
      </c>
      <c r="B387" s="1" t="s">
        <v>15</v>
      </c>
      <c r="C387" s="1" t="s">
        <v>258</v>
      </c>
      <c r="D387" s="1" t="str">
        <f>Vlookup(C387,'Oil &amp; Gas Documents - Canada'!F:M,2,FALSE)</f>
        <v>oil_and_gas</v>
      </c>
      <c r="E387" s="1" t="str">
        <f>Vlookup(C387,'Oil &amp; Gas Documents - Canada'!F:N,9,FALSE)</f>
        <v/>
      </c>
      <c r="F387" s="1" t="s">
        <v>257</v>
      </c>
      <c r="G387" s="4" t="str">
        <f>HYPERLINK("http://nimonikapp.com/legislations/116985","http://nimonikapp.com/legislations/116985")</f>
        <v>http://nimonikapp.com/legislations/116985</v>
      </c>
      <c r="H387" s="1" t="s">
        <v>18</v>
      </c>
      <c r="I387" s="1" t="s">
        <v>260</v>
      </c>
      <c r="J387" s="1" t="s">
        <v>261</v>
      </c>
      <c r="K387" s="5">
        <v>44789.0</v>
      </c>
      <c r="L387" s="5">
        <v>44789.0</v>
      </c>
      <c r="M387" s="5">
        <v>44817.0</v>
      </c>
      <c r="N387" s="1" t="s">
        <v>259</v>
      </c>
    </row>
    <row r="388" hidden="1">
      <c r="A388" s="1" t="s">
        <v>99</v>
      </c>
      <c r="B388" s="1" t="s">
        <v>25</v>
      </c>
      <c r="C388" s="1" t="s">
        <v>1811</v>
      </c>
      <c r="D388" s="1" t="str">
        <f>Vlookup(C388,'Oil &amp; Gas Documents - Canada'!F:M,2,FALSE)</f>
        <v>#N/A</v>
      </c>
      <c r="E388" s="1" t="str">
        <f>Vlookup(C388,'Oil &amp; Gas Documents - Canada'!F:N,9,FALSE)</f>
        <v>#N/A</v>
      </c>
      <c r="F388" s="1" t="s">
        <v>1812</v>
      </c>
      <c r="G388" s="4" t="str">
        <f t="shared" ref="G388:G389" si="10">HYPERLINK("http://nimonikapp.com/legislations/1580","http://nimonikapp.com/legislations/1580")</f>
        <v>http://nimonikapp.com/legislations/1580</v>
      </c>
      <c r="H388" s="1" t="s">
        <v>18</v>
      </c>
      <c r="I388" s="1" t="s">
        <v>1813</v>
      </c>
      <c r="J388" s="1" t="s">
        <v>1814</v>
      </c>
      <c r="K388" s="5">
        <v>44813.0</v>
      </c>
      <c r="L388" s="5">
        <v>44813.0</v>
      </c>
      <c r="M388" s="5">
        <v>44817.0</v>
      </c>
      <c r="N388" s="1" t="s">
        <v>1815</v>
      </c>
    </row>
    <row r="389" hidden="1">
      <c r="A389" s="1" t="s">
        <v>99</v>
      </c>
      <c r="B389" s="1" t="s">
        <v>25</v>
      </c>
      <c r="C389" s="1" t="s">
        <v>1811</v>
      </c>
      <c r="D389" s="1" t="str">
        <f>Vlookup(C389,'Oil &amp; Gas Documents - Canada'!F:M,2,FALSE)</f>
        <v>#N/A</v>
      </c>
      <c r="E389" s="1" t="str">
        <f>Vlookup(C389,'Oil &amp; Gas Documents - Canada'!F:N,9,FALSE)</f>
        <v>#N/A</v>
      </c>
      <c r="F389" s="1" t="s">
        <v>1812</v>
      </c>
      <c r="G389" s="4" t="str">
        <f t="shared" si="10"/>
        <v>http://nimonikapp.com/legislations/1580</v>
      </c>
      <c r="H389" s="1" t="s">
        <v>18</v>
      </c>
      <c r="I389" s="1" t="s">
        <v>1816</v>
      </c>
      <c r="J389" s="1" t="s">
        <v>1814</v>
      </c>
      <c r="K389" s="5">
        <v>44813.0</v>
      </c>
      <c r="L389" s="5">
        <v>44813.0</v>
      </c>
      <c r="M389" s="5">
        <v>44817.0</v>
      </c>
      <c r="N389" s="1" t="s">
        <v>1815</v>
      </c>
    </row>
    <row r="390" hidden="1">
      <c r="A390" s="1" t="s">
        <v>202</v>
      </c>
      <c r="B390" s="1" t="s">
        <v>25</v>
      </c>
      <c r="C390" s="1" t="s">
        <v>1120</v>
      </c>
      <c r="D390" s="1" t="str">
        <f>Vlookup(C390,'Oil &amp; Gas Documents - Canada'!F:M,2,FALSE)</f>
        <v>#N/A</v>
      </c>
      <c r="E390" s="1" t="str">
        <f>Vlookup(C390,'Oil &amp; Gas Documents - Canada'!F:N,9,FALSE)</f>
        <v>#N/A</v>
      </c>
      <c r="F390" s="1" t="s">
        <v>1121</v>
      </c>
      <c r="G390" s="4" t="str">
        <f>HYPERLINK("http://nimonikapp.com/legislations/114490","http://nimonikapp.com/legislations/114490")</f>
        <v>http://nimonikapp.com/legislations/114490</v>
      </c>
      <c r="H390" s="1" t="s">
        <v>18</v>
      </c>
      <c r="I390" s="1" t="s">
        <v>1817</v>
      </c>
      <c r="J390" s="1" t="s">
        <v>1818</v>
      </c>
      <c r="K390" s="5">
        <v>44817.0</v>
      </c>
      <c r="L390" s="5">
        <v>44652.0</v>
      </c>
      <c r="M390" s="5">
        <v>44816.0</v>
      </c>
      <c r="N390" s="1" t="s">
        <v>1124</v>
      </c>
    </row>
    <row r="391" hidden="1">
      <c r="A391" s="1" t="s">
        <v>202</v>
      </c>
      <c r="B391" s="1" t="s">
        <v>25</v>
      </c>
      <c r="C391" s="1" t="s">
        <v>1757</v>
      </c>
      <c r="D391" s="1" t="str">
        <f>Vlookup(C391,'Oil &amp; Gas Documents - Canada'!F:M,2,FALSE)</f>
        <v>#N/A</v>
      </c>
      <c r="E391" s="1" t="str">
        <f>Vlookup(C391,'Oil &amp; Gas Documents - Canada'!F:N,9,FALSE)</f>
        <v>#N/A</v>
      </c>
      <c r="F391" s="1" t="s">
        <v>1758</v>
      </c>
      <c r="G391" s="4" t="str">
        <f>HYPERLINK("http://nimonikapp.com/legislations/98078","http://nimonikapp.com/legislations/98078")</f>
        <v>http://nimonikapp.com/legislations/98078</v>
      </c>
      <c r="H391" s="1" t="s">
        <v>18</v>
      </c>
      <c r="I391" s="1" t="s">
        <v>1817</v>
      </c>
      <c r="J391" s="1" t="s">
        <v>1818</v>
      </c>
      <c r="K391" s="5">
        <v>44817.0</v>
      </c>
      <c r="L391" s="5">
        <v>44652.0</v>
      </c>
      <c r="M391" s="5">
        <v>44816.0</v>
      </c>
      <c r="N391" s="1" t="s">
        <v>1761</v>
      </c>
    </row>
    <row r="392" hidden="1">
      <c r="A392" s="1" t="s">
        <v>73</v>
      </c>
      <c r="B392" s="1" t="s">
        <v>364</v>
      </c>
      <c r="C392" s="1" t="s">
        <v>1819</v>
      </c>
      <c r="D392" s="1" t="str">
        <f>Vlookup(C392,'Oil &amp; Gas Documents - Canada'!F:M,2,FALSE)</f>
        <v>#N/A</v>
      </c>
      <c r="E392" s="1" t="str">
        <f>Vlookup(C392,'Oil &amp; Gas Documents - Canada'!F:N,9,FALSE)</f>
        <v>#N/A</v>
      </c>
      <c r="F392" s="1" t="s">
        <v>1820</v>
      </c>
      <c r="G392" s="4" t="str">
        <f>HYPERLINK("http://nimonikapp.com/legislations/367838","http://nimonikapp.com/legislations/367838")</f>
        <v>http://nimonikapp.com/legislations/367838</v>
      </c>
      <c r="H392" s="1" t="s">
        <v>356</v>
      </c>
      <c r="I392" s="1" t="s">
        <v>1774</v>
      </c>
      <c r="J392" s="1" t="s">
        <v>1775</v>
      </c>
      <c r="K392" s="5">
        <v>44813.0</v>
      </c>
      <c r="L392" s="5">
        <v>44799.0</v>
      </c>
      <c r="M392" s="5">
        <v>44813.0</v>
      </c>
      <c r="N392" s="1" t="s">
        <v>1821</v>
      </c>
    </row>
    <row r="393" hidden="1">
      <c r="A393" s="1" t="s">
        <v>221</v>
      </c>
      <c r="B393" s="1" t="s">
        <v>15</v>
      </c>
      <c r="C393" s="1" t="s">
        <v>1822</v>
      </c>
      <c r="D393" s="1" t="str">
        <f>Vlookup(C393,'Oil &amp; Gas Documents - Canada'!F:M,2,FALSE)</f>
        <v>#N/A</v>
      </c>
      <c r="E393" s="1" t="str">
        <f>Vlookup(C393,'Oil &amp; Gas Documents - Canada'!F:N,9,FALSE)</f>
        <v>#N/A</v>
      </c>
      <c r="F393" s="1" t="s">
        <v>1823</v>
      </c>
      <c r="G393" s="4" t="str">
        <f>HYPERLINK("http://nimonikapp.com/legislations/371277","http://nimonikapp.com/legislations/371277")</f>
        <v>http://nimonikapp.com/legislations/371277</v>
      </c>
      <c r="H393" s="1" t="s">
        <v>69</v>
      </c>
      <c r="K393" s="5">
        <v>44803.0</v>
      </c>
      <c r="M393" s="5">
        <v>44812.0</v>
      </c>
    </row>
    <row r="394" hidden="1">
      <c r="A394" s="1" t="s">
        <v>99</v>
      </c>
      <c r="B394" s="1" t="s">
        <v>15</v>
      </c>
      <c r="C394" s="1" t="s">
        <v>1824</v>
      </c>
      <c r="D394" s="1" t="str">
        <f>Vlookup(C394,'Oil &amp; Gas Documents - Canada'!F:M,2,FALSE)</f>
        <v>#N/A</v>
      </c>
      <c r="E394" s="1" t="str">
        <f>Vlookup(C394,'Oil &amp; Gas Documents - Canada'!F:N,9,FALSE)</f>
        <v>#N/A</v>
      </c>
      <c r="F394" s="1" t="s">
        <v>1825</v>
      </c>
      <c r="G394" s="4" t="str">
        <f>HYPERLINK("http://nimonikapp.com/legislations/371297","http://nimonikapp.com/legislations/371297")</f>
        <v>http://nimonikapp.com/legislations/371297</v>
      </c>
      <c r="H394" s="1" t="s">
        <v>18</v>
      </c>
      <c r="K394" s="5">
        <v>44806.0</v>
      </c>
      <c r="L394" s="5">
        <v>44806.0</v>
      </c>
      <c r="M394" s="5">
        <v>44812.0</v>
      </c>
    </row>
    <row r="395" hidden="1">
      <c r="A395" s="1" t="s">
        <v>99</v>
      </c>
      <c r="B395" s="1" t="s">
        <v>15</v>
      </c>
      <c r="C395" s="1" t="s">
        <v>1826</v>
      </c>
      <c r="D395" s="1" t="str">
        <f>Vlookup(C395,'Oil &amp; Gas Documents - Canada'!F:M,2,FALSE)</f>
        <v>#N/A</v>
      </c>
      <c r="E395" s="1" t="str">
        <f>Vlookup(C395,'Oil &amp; Gas Documents - Canada'!F:N,9,FALSE)</f>
        <v>#N/A</v>
      </c>
      <c r="F395" s="1" t="s">
        <v>1827</v>
      </c>
      <c r="G395" s="4" t="str">
        <f>HYPERLINK("http://nimonikapp.com/legislations/371295","http://nimonikapp.com/legislations/371295")</f>
        <v>http://nimonikapp.com/legislations/371295</v>
      </c>
      <c r="H395" s="1" t="s">
        <v>18</v>
      </c>
      <c r="K395" s="5">
        <v>44806.0</v>
      </c>
      <c r="L395" s="5">
        <v>44806.0</v>
      </c>
      <c r="M395" s="5">
        <v>44812.0</v>
      </c>
    </row>
    <row r="396" hidden="1">
      <c r="A396" s="1" t="s">
        <v>99</v>
      </c>
      <c r="B396" s="1" t="s">
        <v>15</v>
      </c>
      <c r="C396" s="1" t="s">
        <v>1828</v>
      </c>
      <c r="D396" s="1" t="str">
        <f>Vlookup(C396,'Oil &amp; Gas Documents - Canada'!F:M,2,FALSE)</f>
        <v>#N/A</v>
      </c>
      <c r="E396" s="1" t="str">
        <f>Vlookup(C396,'Oil &amp; Gas Documents - Canada'!F:N,9,FALSE)</f>
        <v>#N/A</v>
      </c>
      <c r="F396" s="1" t="s">
        <v>1829</v>
      </c>
      <c r="G396" s="4" t="str">
        <f>HYPERLINK("http://nimonikapp.com/legislations/371294","http://nimonikapp.com/legislations/371294")</f>
        <v>http://nimonikapp.com/legislations/371294</v>
      </c>
      <c r="H396" s="1" t="s">
        <v>18</v>
      </c>
      <c r="K396" s="5">
        <v>44806.0</v>
      </c>
      <c r="L396" s="5">
        <v>44806.0</v>
      </c>
      <c r="M396" s="5">
        <v>44812.0</v>
      </c>
    </row>
    <row r="397" hidden="1">
      <c r="A397" s="1" t="s">
        <v>1105</v>
      </c>
      <c r="B397" s="1" t="s">
        <v>15</v>
      </c>
      <c r="C397" s="1" t="s">
        <v>1830</v>
      </c>
      <c r="D397" s="1" t="str">
        <f>Vlookup(C397,'Oil &amp; Gas Documents - Canada'!F:M,2,FALSE)</f>
        <v>#N/A</v>
      </c>
      <c r="E397" s="1" t="str">
        <f>Vlookup(C397,'Oil &amp; Gas Documents - Canada'!F:N,9,FALSE)</f>
        <v>#N/A</v>
      </c>
      <c r="F397" s="1" t="s">
        <v>1831</v>
      </c>
      <c r="G397" s="4" t="str">
        <f>HYPERLINK("http://nimonikapp.com/legislations/371048","http://nimonikapp.com/legislations/371048")</f>
        <v>http://nimonikapp.com/legislations/371048</v>
      </c>
      <c r="H397" s="1" t="s">
        <v>69</v>
      </c>
      <c r="K397" s="5">
        <v>44790.0</v>
      </c>
      <c r="M397" s="5">
        <v>44810.0</v>
      </c>
    </row>
    <row r="398">
      <c r="A398" s="1" t="s">
        <v>24</v>
      </c>
      <c r="B398" s="1" t="s">
        <v>25</v>
      </c>
      <c r="C398" s="1" t="s">
        <v>263</v>
      </c>
      <c r="D398" s="1" t="str">
        <f>Vlookup(C398,'Oil &amp; Gas Documents - Canada'!F:M,2,FALSE)</f>
        <v>oil_and_gas</v>
      </c>
      <c r="E398" s="1" t="str">
        <f>Vlookup(C398,'Oil &amp; Gas Documents - Canada'!F:N,9,FALSE)</f>
        <v/>
      </c>
      <c r="F398" s="1" t="s">
        <v>262</v>
      </c>
      <c r="G398" s="4" t="str">
        <f>HYPERLINK("http://nimonikapp.com/legislations/284789","http://nimonikapp.com/legislations/284789")</f>
        <v>http://nimonikapp.com/legislations/284789</v>
      </c>
      <c r="H398" s="1" t="s">
        <v>18</v>
      </c>
      <c r="I398" s="1" t="s">
        <v>265</v>
      </c>
      <c r="J398" s="1" t="s">
        <v>109</v>
      </c>
      <c r="K398" s="5">
        <v>44803.0</v>
      </c>
      <c r="L398" s="5">
        <v>45078.0</v>
      </c>
      <c r="M398" s="5">
        <v>44810.0</v>
      </c>
      <c r="N398" s="1" t="s">
        <v>264</v>
      </c>
    </row>
    <row r="399">
      <c r="A399" s="1" t="s">
        <v>24</v>
      </c>
      <c r="B399" s="1" t="s">
        <v>25</v>
      </c>
      <c r="C399" s="1" t="s">
        <v>267</v>
      </c>
      <c r="D399" s="1" t="str">
        <f>Vlookup(C399,'Oil &amp; Gas Documents - Canada'!F:M,2,FALSE)</f>
        <v>oil_and_gas</v>
      </c>
      <c r="E399" s="1" t="str">
        <f>Vlookup(C399,'Oil &amp; Gas Documents - Canada'!F:N,9,FALSE)</f>
        <v/>
      </c>
      <c r="F399" s="1" t="s">
        <v>266</v>
      </c>
      <c r="G399" s="4" t="str">
        <f>HYPERLINK("http://nimonikapp.com/legislations/96054","http://nimonikapp.com/legislations/96054")</f>
        <v>http://nimonikapp.com/legislations/96054</v>
      </c>
      <c r="H399" s="1" t="s">
        <v>18</v>
      </c>
      <c r="I399" s="1" t="s">
        <v>265</v>
      </c>
      <c r="J399" s="1" t="s">
        <v>109</v>
      </c>
      <c r="K399" s="5">
        <v>44803.0</v>
      </c>
      <c r="L399" s="5">
        <v>45078.0</v>
      </c>
      <c r="M399" s="5">
        <v>44810.0</v>
      </c>
      <c r="N399" s="1" t="s">
        <v>268</v>
      </c>
    </row>
    <row r="400">
      <c r="A400" s="1" t="s">
        <v>24</v>
      </c>
      <c r="B400" s="1" t="s">
        <v>25</v>
      </c>
      <c r="C400" s="1" t="s">
        <v>270</v>
      </c>
      <c r="D400" s="1" t="str">
        <f>Vlookup(C400,'Oil &amp; Gas Documents - Canada'!F:M,2,FALSE)</f>
        <v>oil_and_gas</v>
      </c>
      <c r="E400" s="1" t="str">
        <f>Vlookup(C400,'Oil &amp; Gas Documents - Canada'!F:N,9,FALSE)</f>
        <v/>
      </c>
      <c r="F400" s="1" t="s">
        <v>269</v>
      </c>
      <c r="G400" s="4" t="str">
        <f>HYPERLINK("http://nimonikapp.com/legislations/16903","http://nimonikapp.com/legislations/16903")</f>
        <v>http://nimonikapp.com/legislations/16903</v>
      </c>
      <c r="H400" s="1" t="s">
        <v>18</v>
      </c>
      <c r="I400" s="1" t="s">
        <v>265</v>
      </c>
      <c r="J400" s="1" t="s">
        <v>109</v>
      </c>
      <c r="K400" s="5">
        <v>44803.0</v>
      </c>
      <c r="L400" s="5">
        <v>45078.0</v>
      </c>
      <c r="M400" s="5">
        <v>44810.0</v>
      </c>
      <c r="N400" s="1" t="s">
        <v>271</v>
      </c>
    </row>
    <row r="401">
      <c r="A401" s="1" t="s">
        <v>21</v>
      </c>
      <c r="B401" s="1" t="s">
        <v>25</v>
      </c>
      <c r="C401" s="1" t="s">
        <v>273</v>
      </c>
      <c r="D401" s="1" t="str">
        <f>Vlookup(C401,'Oil &amp; Gas Documents - Canada'!F:M,2,FALSE)</f>
        <v>oil_and_gas</v>
      </c>
      <c r="E401" s="1" t="str">
        <f>Vlookup(C401,'Oil &amp; Gas Documents - Canada'!F:N,9,FALSE)</f>
        <v/>
      </c>
      <c r="F401" s="1" t="s">
        <v>272</v>
      </c>
      <c r="G401" s="4" t="str">
        <f>HYPERLINK("http://nimonikapp.com/legislations/4115","http://nimonikapp.com/legislations/4115")</f>
        <v>http://nimonikapp.com/legislations/4115</v>
      </c>
      <c r="H401" s="1" t="s">
        <v>18</v>
      </c>
      <c r="I401" s="1" t="s">
        <v>275</v>
      </c>
      <c r="J401" s="1" t="s">
        <v>276</v>
      </c>
      <c r="K401" s="5">
        <v>44810.0</v>
      </c>
      <c r="L401" s="5">
        <v>44810.0</v>
      </c>
      <c r="M401" s="5">
        <v>44810.0</v>
      </c>
      <c r="N401" s="1" t="s">
        <v>274</v>
      </c>
    </row>
    <row r="402">
      <c r="A402" s="1" t="s">
        <v>21</v>
      </c>
      <c r="B402" s="1" t="s">
        <v>25</v>
      </c>
      <c r="C402" s="1" t="s">
        <v>278</v>
      </c>
      <c r="D402" s="1" t="str">
        <f>Vlookup(C402,'Oil &amp; Gas Documents - Canada'!F:M,2,FALSE)</f>
        <v>oil_and_gas</v>
      </c>
      <c r="E402" s="1" t="str">
        <f>Vlookup(C402,'Oil &amp; Gas Documents - Canada'!F:N,9,FALSE)</f>
        <v/>
      </c>
      <c r="F402" s="1" t="s">
        <v>277</v>
      </c>
      <c r="G402" s="4" t="str">
        <f>HYPERLINK("http://nimonikapp.com/legislations/109331","http://nimonikapp.com/legislations/109331")</f>
        <v>http://nimonikapp.com/legislations/109331</v>
      </c>
      <c r="H402" s="1" t="s">
        <v>18</v>
      </c>
      <c r="I402" s="1" t="s">
        <v>280</v>
      </c>
      <c r="J402" s="1" t="s">
        <v>281</v>
      </c>
      <c r="K402" s="5">
        <v>44795.0</v>
      </c>
      <c r="L402" s="5">
        <v>44795.0</v>
      </c>
      <c r="M402" s="5">
        <v>44810.0</v>
      </c>
      <c r="N402" s="1" t="s">
        <v>279</v>
      </c>
    </row>
    <row r="403">
      <c r="A403" s="1" t="s">
        <v>21</v>
      </c>
      <c r="B403" s="1" t="s">
        <v>25</v>
      </c>
      <c r="C403" s="1" t="s">
        <v>283</v>
      </c>
      <c r="D403" s="1" t="str">
        <f>Vlookup(C403,'Oil &amp; Gas Documents - Canada'!F:M,2,FALSE)</f>
        <v>oil_and_gas, utilities_and_communications</v>
      </c>
      <c r="E403" s="1" t="str">
        <f>Vlookup(C403,'Oil &amp; Gas Documents - Canada'!F:N,9,FALSE)</f>
        <v/>
      </c>
      <c r="F403" s="1" t="s">
        <v>282</v>
      </c>
      <c r="G403" s="4" t="str">
        <f>HYPERLINK("http://nimonikapp.com/legislations/91182","http://nimonikapp.com/legislations/91182")</f>
        <v>http://nimonikapp.com/legislations/91182</v>
      </c>
      <c r="H403" s="1" t="s">
        <v>18</v>
      </c>
      <c r="I403" s="1" t="s">
        <v>285</v>
      </c>
      <c r="J403" s="1" t="s">
        <v>286</v>
      </c>
      <c r="K403" s="5">
        <v>44795.0</v>
      </c>
      <c r="L403" s="5">
        <v>44795.0</v>
      </c>
      <c r="M403" s="5">
        <v>44810.0</v>
      </c>
      <c r="N403" s="1" t="s">
        <v>284</v>
      </c>
    </row>
    <row r="404">
      <c r="A404" s="1" t="s">
        <v>21</v>
      </c>
      <c r="B404" s="1" t="s">
        <v>25</v>
      </c>
      <c r="C404" s="1" t="s">
        <v>288</v>
      </c>
      <c r="D404" s="1" t="str">
        <f>Vlookup(C404,'Oil &amp; Gas Documents - Canada'!F:M,2,FALSE)</f>
        <v>oil_and_gas</v>
      </c>
      <c r="E404" s="1" t="str">
        <f>Vlookup(C404,'Oil &amp; Gas Documents - Canada'!F:N,9,FALSE)</f>
        <v/>
      </c>
      <c r="F404" s="1" t="s">
        <v>287</v>
      </c>
      <c r="G404" s="4" t="str">
        <f>HYPERLINK("http://nimonikapp.com/legislations/91190","http://nimonikapp.com/legislations/91190")</f>
        <v>http://nimonikapp.com/legislations/91190</v>
      </c>
      <c r="H404" s="1" t="s">
        <v>18</v>
      </c>
      <c r="I404" s="1" t="s">
        <v>290</v>
      </c>
      <c r="J404" s="1" t="s">
        <v>291</v>
      </c>
      <c r="K404" s="5">
        <v>44795.0</v>
      </c>
      <c r="L404" s="5">
        <v>44795.0</v>
      </c>
      <c r="M404" s="5">
        <v>44810.0</v>
      </c>
      <c r="N404" s="1" t="s">
        <v>289</v>
      </c>
    </row>
    <row r="405">
      <c r="A405" s="1" t="s">
        <v>21</v>
      </c>
      <c r="B405" s="1" t="s">
        <v>25</v>
      </c>
      <c r="C405" s="1" t="s">
        <v>293</v>
      </c>
      <c r="D405" s="1" t="str">
        <f>Vlookup(C405,'Oil &amp; Gas Documents - Canada'!F:M,2,FALSE)</f>
        <v>oil_and_gas</v>
      </c>
      <c r="E405" s="1" t="str">
        <f>Vlookup(C405,'Oil &amp; Gas Documents - Canada'!F:N,9,FALSE)</f>
        <v/>
      </c>
      <c r="F405" s="1" t="s">
        <v>292</v>
      </c>
      <c r="G405" s="4" t="str">
        <f>HYPERLINK("http://nimonikapp.com/legislations/4053","http://nimonikapp.com/legislations/4053")</f>
        <v>http://nimonikapp.com/legislations/4053</v>
      </c>
      <c r="H405" s="1" t="s">
        <v>18</v>
      </c>
      <c r="I405" s="1" t="s">
        <v>295</v>
      </c>
      <c r="J405" s="1" t="s">
        <v>296</v>
      </c>
      <c r="K405" s="5">
        <v>44796.0</v>
      </c>
      <c r="L405" s="5">
        <v>44796.0</v>
      </c>
      <c r="M405" s="5">
        <v>44810.0</v>
      </c>
      <c r="N405" s="1" t="s">
        <v>294</v>
      </c>
    </row>
    <row r="406">
      <c r="A406" s="1" t="s">
        <v>21</v>
      </c>
      <c r="B406" s="1" t="s">
        <v>25</v>
      </c>
      <c r="C406" s="1" t="s">
        <v>298</v>
      </c>
      <c r="D406" s="1" t="str">
        <f>Vlookup(C406,'Oil &amp; Gas Documents - Canada'!F:M,2,FALSE)</f>
        <v>oil_and_gas</v>
      </c>
      <c r="E406" s="1" t="str">
        <f>Vlookup(C406,'Oil &amp; Gas Documents - Canada'!F:N,9,FALSE)</f>
        <v/>
      </c>
      <c r="F406" s="1" t="s">
        <v>297</v>
      </c>
      <c r="G406" s="4" t="str">
        <f>HYPERLINK("http://nimonikapp.com/legislations/4047","http://nimonikapp.com/legislations/4047")</f>
        <v>http://nimonikapp.com/legislations/4047</v>
      </c>
      <c r="H406" s="1" t="s">
        <v>18</v>
      </c>
      <c r="I406" s="1" t="s">
        <v>300</v>
      </c>
      <c r="J406" s="1" t="s">
        <v>301</v>
      </c>
      <c r="K406" s="5">
        <v>44805.0</v>
      </c>
      <c r="L406" s="5">
        <v>44805.0</v>
      </c>
      <c r="M406" s="5">
        <v>44810.0</v>
      </c>
      <c r="N406" s="1" t="s">
        <v>299</v>
      </c>
    </row>
    <row r="407" hidden="1">
      <c r="A407" s="1" t="s">
        <v>66</v>
      </c>
      <c r="B407" s="1" t="s">
        <v>15</v>
      </c>
      <c r="C407" s="1" t="s">
        <v>1832</v>
      </c>
      <c r="D407" s="1" t="str">
        <f>Vlookup(C407,'Oil &amp; Gas Documents - Canada'!F:M,2,FALSE)</f>
        <v>#N/A</v>
      </c>
      <c r="E407" s="1" t="str">
        <f>Vlookup(C407,'Oil &amp; Gas Documents - Canada'!F:N,9,FALSE)</f>
        <v>#N/A</v>
      </c>
      <c r="F407" s="1" t="s">
        <v>1833</v>
      </c>
      <c r="G407" s="4" t="str">
        <f>HYPERLINK("http://nimonikapp.com/legislations/370354","http://nimonikapp.com/legislations/370354")</f>
        <v>http://nimonikapp.com/legislations/370354</v>
      </c>
      <c r="H407" s="1" t="s">
        <v>52</v>
      </c>
      <c r="K407" s="5">
        <v>44803.0</v>
      </c>
      <c r="L407" s="5">
        <v>44927.0</v>
      </c>
      <c r="M407" s="5">
        <v>44806.0</v>
      </c>
    </row>
    <row r="408" hidden="1">
      <c r="A408" s="1" t="s">
        <v>70</v>
      </c>
      <c r="B408" s="1" t="s">
        <v>15</v>
      </c>
      <c r="C408" s="1" t="s">
        <v>1834</v>
      </c>
      <c r="D408" s="1" t="str">
        <f>Vlookup(C408,'Oil &amp; Gas Documents - Canada'!F:M,2,FALSE)</f>
        <v>#N/A</v>
      </c>
      <c r="E408" s="1" t="str">
        <f>Vlookup(C408,'Oil &amp; Gas Documents - Canada'!F:N,9,FALSE)</f>
        <v>#N/A</v>
      </c>
      <c r="F408" s="1" t="s">
        <v>1835</v>
      </c>
      <c r="G408" s="4" t="str">
        <f>HYPERLINK("http://nimonikapp.com/legislations/370334","http://nimonikapp.com/legislations/370334")</f>
        <v>http://nimonikapp.com/legislations/370334</v>
      </c>
      <c r="H408" s="1" t="s">
        <v>69</v>
      </c>
      <c r="K408" s="5">
        <v>44799.0</v>
      </c>
      <c r="M408" s="5">
        <v>44806.0</v>
      </c>
    </row>
    <row r="409" hidden="1">
      <c r="A409" s="1" t="s">
        <v>66</v>
      </c>
      <c r="B409" s="1" t="s">
        <v>25</v>
      </c>
      <c r="C409" s="1" t="s">
        <v>1836</v>
      </c>
      <c r="D409" s="1" t="str">
        <f>Vlookup(C409,'Oil &amp; Gas Documents - Canada'!F:M,2,FALSE)</f>
        <v>#N/A</v>
      </c>
      <c r="E409" s="1" t="str">
        <f>Vlookup(C409,'Oil &amp; Gas Documents - Canada'!F:N,9,FALSE)</f>
        <v>#N/A</v>
      </c>
      <c r="F409" s="1" t="s">
        <v>1837</v>
      </c>
      <c r="G409" s="4" t="str">
        <f>HYPERLINK("http://nimonikapp.com/legislations/117281","http://nimonikapp.com/legislations/117281")</f>
        <v>http://nimonikapp.com/legislations/117281</v>
      </c>
      <c r="H409" s="1" t="s">
        <v>18</v>
      </c>
      <c r="I409" s="1" t="s">
        <v>1838</v>
      </c>
      <c r="J409" s="1" t="s">
        <v>1839</v>
      </c>
      <c r="K409" s="5">
        <v>44803.0</v>
      </c>
      <c r="L409" s="5">
        <v>44805.0</v>
      </c>
      <c r="M409" s="5">
        <v>44806.0</v>
      </c>
      <c r="N409" s="1" t="s">
        <v>1840</v>
      </c>
    </row>
    <row r="410" hidden="1">
      <c r="A410" s="1" t="s">
        <v>557</v>
      </c>
      <c r="B410" s="1" t="s">
        <v>25</v>
      </c>
      <c r="C410" s="1" t="s">
        <v>1841</v>
      </c>
      <c r="D410" s="1" t="str">
        <f>Vlookup(C410,'Oil &amp; Gas Documents - Canada'!F:M,2,FALSE)</f>
        <v>#N/A</v>
      </c>
      <c r="E410" s="1" t="str">
        <f>Vlookup(C410,'Oil &amp; Gas Documents - Canada'!F:N,9,FALSE)</f>
        <v>#N/A</v>
      </c>
      <c r="F410" s="1" t="s">
        <v>1842</v>
      </c>
      <c r="G410" s="4" t="str">
        <f>HYPERLINK("http://nimonikapp.com/legislations/4498","http://nimonikapp.com/legislations/4498")</f>
        <v>http://nimonikapp.com/legislations/4498</v>
      </c>
      <c r="H410" s="1" t="s">
        <v>18</v>
      </c>
      <c r="I410" s="1" t="s">
        <v>1843</v>
      </c>
      <c r="J410" s="1" t="s">
        <v>1844</v>
      </c>
      <c r="K410" s="5">
        <v>44804.0</v>
      </c>
      <c r="L410" s="5">
        <v>44777.0</v>
      </c>
      <c r="M410" s="5">
        <v>44806.0</v>
      </c>
      <c r="N410" s="1" t="s">
        <v>1845</v>
      </c>
    </row>
    <row r="411" hidden="1">
      <c r="A411" s="1" t="s">
        <v>73</v>
      </c>
      <c r="B411" s="1" t="s">
        <v>25</v>
      </c>
      <c r="C411" s="1" t="s">
        <v>1069</v>
      </c>
      <c r="D411" s="1" t="str">
        <f>Vlookup(C411,'Oil &amp; Gas Documents - Canada'!F:M,2,FALSE)</f>
        <v>#N/A</v>
      </c>
      <c r="E411" s="1" t="str">
        <f>Vlookup(C411,'Oil &amp; Gas Documents - Canada'!F:N,9,FALSE)</f>
        <v>#N/A</v>
      </c>
      <c r="F411" s="1" t="s">
        <v>1070</v>
      </c>
      <c r="G411" s="4" t="str">
        <f>HYPERLINK("http://nimonikapp.com/legislations/897","http://nimonikapp.com/legislations/897")</f>
        <v>http://nimonikapp.com/legislations/897</v>
      </c>
      <c r="H411" s="1" t="s">
        <v>18</v>
      </c>
      <c r="I411" s="1" t="s">
        <v>1846</v>
      </c>
      <c r="J411" s="1" t="s">
        <v>1847</v>
      </c>
      <c r="K411" s="5">
        <v>44800.0</v>
      </c>
      <c r="L411" s="5">
        <v>44789.0</v>
      </c>
      <c r="M411" s="5">
        <v>44805.0</v>
      </c>
      <c r="N411" s="1" t="s">
        <v>1073</v>
      </c>
    </row>
    <row r="412" hidden="1">
      <c r="A412" s="1" t="s">
        <v>73</v>
      </c>
      <c r="B412" s="1" t="s">
        <v>25</v>
      </c>
      <c r="C412" s="1" t="s">
        <v>1033</v>
      </c>
      <c r="D412" s="1" t="str">
        <f>Vlookup(C412,'Oil &amp; Gas Documents - Canada'!F:M,2,FALSE)</f>
        <v>#N/A</v>
      </c>
      <c r="E412" s="1" t="str">
        <f>Vlookup(C412,'Oil &amp; Gas Documents - Canada'!F:N,9,FALSE)</f>
        <v>#N/A</v>
      </c>
      <c r="F412" s="1" t="s">
        <v>1034</v>
      </c>
      <c r="G412" s="4" t="str">
        <f>HYPERLINK("http://nimonikapp.com/legislations/895","http://nimonikapp.com/legislations/895")</f>
        <v>http://nimonikapp.com/legislations/895</v>
      </c>
      <c r="H412" s="1" t="s">
        <v>18</v>
      </c>
      <c r="I412" s="1" t="s">
        <v>1848</v>
      </c>
      <c r="J412" s="1" t="s">
        <v>1849</v>
      </c>
      <c r="K412" s="5">
        <v>44804.0</v>
      </c>
      <c r="L412" s="5">
        <v>44789.0</v>
      </c>
      <c r="M412" s="5">
        <v>44805.0</v>
      </c>
      <c r="N412" s="1" t="s">
        <v>1037</v>
      </c>
    </row>
    <row r="413" hidden="1">
      <c r="A413" s="1" t="s">
        <v>202</v>
      </c>
      <c r="B413" s="1" t="s">
        <v>25</v>
      </c>
      <c r="C413" s="1" t="s">
        <v>1850</v>
      </c>
      <c r="D413" s="1" t="str">
        <f>Vlookup(C413,'Oil &amp; Gas Documents - Canada'!F:M,2,FALSE)</f>
        <v>#N/A</v>
      </c>
      <c r="E413" s="1" t="str">
        <f>Vlookup(C413,'Oil &amp; Gas Documents - Canada'!F:N,9,FALSE)</f>
        <v>#N/A</v>
      </c>
      <c r="F413" s="1" t="s">
        <v>1851</v>
      </c>
      <c r="G413" s="4" t="str">
        <f>HYPERLINK("http://nimonikapp.com/legislations/120134","http://nimonikapp.com/legislations/120134")</f>
        <v>http://nimonikapp.com/legislations/120134</v>
      </c>
      <c r="H413" s="1" t="s">
        <v>18</v>
      </c>
      <c r="I413" s="1" t="s">
        <v>1852</v>
      </c>
      <c r="J413" s="1" t="s">
        <v>1853</v>
      </c>
      <c r="K413" s="5">
        <v>44804.0</v>
      </c>
      <c r="M413" s="5">
        <v>44805.0</v>
      </c>
      <c r="N413" s="1" t="s">
        <v>1854</v>
      </c>
    </row>
    <row r="414" hidden="1">
      <c r="A414" s="1" t="s">
        <v>73</v>
      </c>
      <c r="B414" s="1" t="s">
        <v>25</v>
      </c>
      <c r="C414" s="1" t="s">
        <v>1061</v>
      </c>
      <c r="D414" s="1" t="str">
        <f>Vlookup(C414,'Oil &amp; Gas Documents - Canada'!F:M,2,FALSE)</f>
        <v>#N/A</v>
      </c>
      <c r="E414" s="1" t="str">
        <f>Vlookup(C414,'Oil &amp; Gas Documents - Canada'!F:N,9,FALSE)</f>
        <v>#N/A</v>
      </c>
      <c r="F414" s="1" t="s">
        <v>1062</v>
      </c>
      <c r="G414" s="4" t="str">
        <f>HYPERLINK("http://nimonikapp.com/legislations/677","http://nimonikapp.com/legislations/677")</f>
        <v>http://nimonikapp.com/legislations/677</v>
      </c>
      <c r="H414" s="1" t="s">
        <v>18</v>
      </c>
      <c r="I414" s="1" t="s">
        <v>1855</v>
      </c>
      <c r="J414" s="1" t="s">
        <v>1856</v>
      </c>
      <c r="K414" s="5">
        <v>44804.0</v>
      </c>
      <c r="L414" s="5">
        <v>44804.0</v>
      </c>
      <c r="M414" s="5">
        <v>44805.0</v>
      </c>
      <c r="N414" s="1" t="s">
        <v>1065</v>
      </c>
    </row>
    <row r="415" hidden="1">
      <c r="A415" s="1" t="s">
        <v>73</v>
      </c>
      <c r="B415" s="1" t="s">
        <v>25</v>
      </c>
      <c r="C415" s="1" t="s">
        <v>1045</v>
      </c>
      <c r="D415" s="1" t="str">
        <f>Vlookup(C415,'Oil &amp; Gas Documents - Canada'!F:M,2,FALSE)</f>
        <v>#N/A</v>
      </c>
      <c r="E415" s="1" t="str">
        <f>Vlookup(C415,'Oil &amp; Gas Documents - Canada'!F:N,9,FALSE)</f>
        <v>#N/A</v>
      </c>
      <c r="F415" s="1" t="s">
        <v>1046</v>
      </c>
      <c r="G415" s="4" t="str">
        <f t="shared" ref="G415:G416" si="11">HYPERLINK("http://nimonikapp.com/legislations/321966","http://nimonikapp.com/legislations/321966")</f>
        <v>http://nimonikapp.com/legislations/321966</v>
      </c>
      <c r="H415" s="1" t="s">
        <v>18</v>
      </c>
      <c r="I415" s="1" t="s">
        <v>1857</v>
      </c>
      <c r="J415" s="1" t="s">
        <v>1048</v>
      </c>
      <c r="K415" s="5">
        <v>44804.0</v>
      </c>
      <c r="L415" s="5">
        <v>44792.0</v>
      </c>
      <c r="M415" s="5">
        <v>44805.0</v>
      </c>
      <c r="N415" s="1" t="s">
        <v>1049</v>
      </c>
    </row>
    <row r="416" hidden="1">
      <c r="A416" s="1" t="s">
        <v>73</v>
      </c>
      <c r="B416" s="1" t="s">
        <v>25</v>
      </c>
      <c r="C416" s="1" t="s">
        <v>1045</v>
      </c>
      <c r="D416" s="1" t="str">
        <f>Vlookup(C416,'Oil &amp; Gas Documents - Canada'!F:M,2,FALSE)</f>
        <v>#N/A</v>
      </c>
      <c r="E416" s="1" t="str">
        <f>Vlookup(C416,'Oil &amp; Gas Documents - Canada'!F:N,9,FALSE)</f>
        <v>#N/A</v>
      </c>
      <c r="F416" s="1" t="s">
        <v>1046</v>
      </c>
      <c r="G416" s="4" t="str">
        <f t="shared" si="11"/>
        <v>http://nimonikapp.com/legislations/321966</v>
      </c>
      <c r="H416" s="1" t="s">
        <v>18</v>
      </c>
      <c r="I416" s="1" t="s">
        <v>1858</v>
      </c>
      <c r="J416" s="1" t="s">
        <v>1048</v>
      </c>
      <c r="K416" s="5">
        <v>44804.0</v>
      </c>
      <c r="L416" s="5">
        <v>44792.0</v>
      </c>
      <c r="M416" s="5">
        <v>44805.0</v>
      </c>
      <c r="N416" s="1" t="s">
        <v>1049</v>
      </c>
    </row>
    <row r="417" hidden="1">
      <c r="A417" s="1" t="s">
        <v>21</v>
      </c>
      <c r="B417" s="1" t="s">
        <v>25</v>
      </c>
      <c r="C417" s="1" t="s">
        <v>1859</v>
      </c>
      <c r="D417" s="1" t="str">
        <f>Vlookup(C417,'Oil &amp; Gas Documents - Canada'!F:M,2,FALSE)</f>
        <v>#N/A</v>
      </c>
      <c r="E417" s="1" t="str">
        <f>Vlookup(C417,'Oil &amp; Gas Documents - Canada'!F:N,9,FALSE)</f>
        <v>#N/A</v>
      </c>
      <c r="F417" s="1" t="s">
        <v>1860</v>
      </c>
      <c r="G417" s="4" t="str">
        <f>HYPERLINK("http://nimonikapp.com/legislations/286993","http://nimonikapp.com/legislations/286993")</f>
        <v>http://nimonikapp.com/legislations/286993</v>
      </c>
      <c r="H417" s="1" t="s">
        <v>18</v>
      </c>
      <c r="I417" s="1" t="s">
        <v>1861</v>
      </c>
      <c r="J417" s="1" t="s">
        <v>1862</v>
      </c>
      <c r="K417" s="5">
        <v>44804.0</v>
      </c>
      <c r="L417" s="5">
        <v>44792.0</v>
      </c>
      <c r="M417" s="5">
        <v>44805.0</v>
      </c>
      <c r="N417" s="1" t="s">
        <v>1863</v>
      </c>
    </row>
    <row r="418">
      <c r="A418" s="1" t="s">
        <v>21</v>
      </c>
      <c r="B418" s="1" t="s">
        <v>25</v>
      </c>
      <c r="C418" s="1" t="s">
        <v>303</v>
      </c>
      <c r="D418" s="1" t="str">
        <f>Vlookup(C418,'Oil &amp; Gas Documents - Canada'!F:M,2,FALSE)</f>
        <v>oil_and_gas</v>
      </c>
      <c r="E418" s="1" t="str">
        <f>Vlookup(C418,'Oil &amp; Gas Documents - Canada'!F:N,9,FALSE)</f>
        <v/>
      </c>
      <c r="F418" s="1" t="s">
        <v>302</v>
      </c>
      <c r="G418" s="4" t="str">
        <f>HYPERLINK("http://nimonikapp.com/legislations/91192","http://nimonikapp.com/legislations/91192")</f>
        <v>http://nimonikapp.com/legislations/91192</v>
      </c>
      <c r="H418" s="1" t="s">
        <v>18</v>
      </c>
      <c r="I418" s="1" t="s">
        <v>305</v>
      </c>
      <c r="J418" s="1" t="s">
        <v>306</v>
      </c>
      <c r="K418" s="5">
        <v>44797.0</v>
      </c>
      <c r="L418" s="5">
        <v>44797.0</v>
      </c>
      <c r="M418" s="5">
        <v>44805.0</v>
      </c>
      <c r="N418" s="1" t="s">
        <v>304</v>
      </c>
    </row>
    <row r="419">
      <c r="A419" s="1" t="s">
        <v>21</v>
      </c>
      <c r="B419" s="1" t="s">
        <v>25</v>
      </c>
      <c r="C419" s="1" t="s">
        <v>308</v>
      </c>
      <c r="D419" s="1" t="str">
        <f>Vlookup(C419,'Oil &amp; Gas Documents - Canada'!F:M,2,FALSE)</f>
        <v>oil_and_gas</v>
      </c>
      <c r="E419" s="1" t="str">
        <f>Vlookup(C419,'Oil &amp; Gas Documents - Canada'!F:N,9,FALSE)</f>
        <v/>
      </c>
      <c r="F419" s="1" t="s">
        <v>307</v>
      </c>
      <c r="G419" s="4" t="str">
        <f>HYPERLINK("http://nimonikapp.com/legislations/4045","http://nimonikapp.com/legislations/4045")</f>
        <v>http://nimonikapp.com/legislations/4045</v>
      </c>
      <c r="H419" s="1" t="s">
        <v>18</v>
      </c>
      <c r="I419" s="1" t="s">
        <v>310</v>
      </c>
      <c r="J419" s="1" t="s">
        <v>311</v>
      </c>
      <c r="K419" s="5">
        <v>44797.0</v>
      </c>
      <c r="L419" s="5">
        <v>44797.0</v>
      </c>
      <c r="M419" s="5">
        <v>44805.0</v>
      </c>
      <c r="N419" s="1" t="s">
        <v>309</v>
      </c>
    </row>
    <row r="420">
      <c r="A420" s="1" t="s">
        <v>21</v>
      </c>
      <c r="B420" s="1" t="s">
        <v>25</v>
      </c>
      <c r="C420" s="1" t="s">
        <v>313</v>
      </c>
      <c r="D420" s="1" t="str">
        <f>Vlookup(C420,'Oil &amp; Gas Documents - Canada'!F:M,2,FALSE)</f>
        <v>oil_and_gas</v>
      </c>
      <c r="E420" s="1" t="str">
        <f>Vlookup(C420,'Oil &amp; Gas Documents - Canada'!F:N,9,FALSE)</f>
        <v/>
      </c>
      <c r="F420" s="1" t="s">
        <v>312</v>
      </c>
      <c r="G420" s="4" t="str">
        <f>HYPERLINK("http://nimonikapp.com/legislations/91185","http://nimonikapp.com/legislations/91185")</f>
        <v>http://nimonikapp.com/legislations/91185</v>
      </c>
      <c r="H420" s="1" t="s">
        <v>18</v>
      </c>
      <c r="I420" s="1" t="s">
        <v>315</v>
      </c>
      <c r="J420" s="1" t="s">
        <v>316</v>
      </c>
      <c r="K420" s="5">
        <v>44797.0</v>
      </c>
      <c r="L420" s="5">
        <v>44797.0</v>
      </c>
      <c r="M420" s="5">
        <v>44805.0</v>
      </c>
      <c r="N420" s="1" t="s">
        <v>314</v>
      </c>
    </row>
    <row r="421" hidden="1">
      <c r="A421" s="1" t="s">
        <v>73</v>
      </c>
      <c r="B421" s="1" t="s">
        <v>15</v>
      </c>
      <c r="C421" s="1" t="s">
        <v>1864</v>
      </c>
      <c r="D421" s="1" t="str">
        <f>Vlookup(C421,'Oil &amp; Gas Documents - Canada'!F:M,2,FALSE)</f>
        <v>#N/A</v>
      </c>
      <c r="E421" s="1" t="str">
        <f>Vlookup(C421,'Oil &amp; Gas Documents - Canada'!F:N,9,FALSE)</f>
        <v>#N/A</v>
      </c>
      <c r="F421" s="1" t="s">
        <v>1865</v>
      </c>
      <c r="G421" s="4" t="str">
        <f>HYPERLINK("http://nimonikapp.com/legislations/367839","http://nimonikapp.com/legislations/367839")</f>
        <v>http://nimonikapp.com/legislations/367839</v>
      </c>
      <c r="H421" s="1" t="s">
        <v>18</v>
      </c>
      <c r="K421" s="5">
        <v>44800.0</v>
      </c>
      <c r="L421" s="5">
        <v>44788.0</v>
      </c>
      <c r="M421" s="5">
        <v>44803.0</v>
      </c>
    </row>
    <row r="422" hidden="1">
      <c r="A422" s="1" t="s">
        <v>14</v>
      </c>
      <c r="B422" s="1" t="s">
        <v>25</v>
      </c>
      <c r="C422" s="1" t="s">
        <v>1866</v>
      </c>
      <c r="D422" s="1" t="str">
        <f>Vlookup(C422,'Oil &amp; Gas Documents - Canada'!F:M,2,FALSE)</f>
        <v>#N/A</v>
      </c>
      <c r="E422" s="1" t="str">
        <f>Vlookup(C422,'Oil &amp; Gas Documents - Canada'!F:N,9,FALSE)</f>
        <v>#N/A</v>
      </c>
      <c r="F422" s="1" t="s">
        <v>1867</v>
      </c>
      <c r="G422" s="4" t="str">
        <f>HYPERLINK("http://nimonikapp.com/legislations/3649","http://nimonikapp.com/legislations/3649")</f>
        <v>http://nimonikapp.com/legislations/3649</v>
      </c>
      <c r="H422" s="1" t="s">
        <v>18</v>
      </c>
      <c r="I422" s="1" t="s">
        <v>1868</v>
      </c>
      <c r="J422" s="1" t="s">
        <v>1869</v>
      </c>
      <c r="K422" s="5">
        <v>44799.0</v>
      </c>
      <c r="L422" s="5">
        <v>44792.0</v>
      </c>
      <c r="M422" s="5">
        <v>44803.0</v>
      </c>
      <c r="N422" s="1" t="s">
        <v>1870</v>
      </c>
    </row>
    <row r="423" hidden="1">
      <c r="A423" s="1" t="s">
        <v>73</v>
      </c>
      <c r="B423" s="1" t="s">
        <v>364</v>
      </c>
      <c r="C423" s="1" t="s">
        <v>1871</v>
      </c>
      <c r="D423" s="1" t="str">
        <f>Vlookup(C423,'Oil &amp; Gas Documents - Canada'!F:M,2,FALSE)</f>
        <v>#N/A</v>
      </c>
      <c r="E423" s="1" t="str">
        <f>Vlookup(C423,'Oil &amp; Gas Documents - Canada'!F:N,9,FALSE)</f>
        <v>#N/A</v>
      </c>
      <c r="F423" s="1" t="s">
        <v>1872</v>
      </c>
      <c r="G423" s="4" t="str">
        <f>HYPERLINK("http://nimonikapp.com/legislations/365732","http://nimonikapp.com/legislations/365732")</f>
        <v>http://nimonikapp.com/legislations/365732</v>
      </c>
      <c r="H423" s="1" t="s">
        <v>356</v>
      </c>
      <c r="I423" s="1" t="s">
        <v>1819</v>
      </c>
      <c r="J423" s="1" t="s">
        <v>1820</v>
      </c>
      <c r="K423" s="5">
        <v>44800.0</v>
      </c>
      <c r="L423" s="5">
        <v>44789.0</v>
      </c>
      <c r="M423" s="5">
        <v>44803.0</v>
      </c>
      <c r="N423" s="1" t="s">
        <v>1873</v>
      </c>
    </row>
    <row r="424" hidden="1">
      <c r="A424" s="1" t="s">
        <v>70</v>
      </c>
      <c r="B424" s="1" t="s">
        <v>15</v>
      </c>
      <c r="C424" s="1" t="s">
        <v>1874</v>
      </c>
      <c r="D424" s="1" t="str">
        <f>Vlookup(C424,'Oil &amp; Gas Documents - Canada'!F:M,2,FALSE)</f>
        <v>#N/A</v>
      </c>
      <c r="E424" s="1" t="str">
        <f>Vlookup(C424,'Oil &amp; Gas Documents - Canada'!F:N,9,FALSE)</f>
        <v>#N/A</v>
      </c>
      <c r="F424" s="1" t="s">
        <v>1875</v>
      </c>
      <c r="G424" s="4" t="str">
        <f>HYPERLINK("http://nimonikapp.com/legislations/366826","http://nimonikapp.com/legislations/366826")</f>
        <v>http://nimonikapp.com/legislations/366826</v>
      </c>
      <c r="H424" s="1" t="s">
        <v>69</v>
      </c>
      <c r="K424" s="5">
        <v>44783.0</v>
      </c>
      <c r="M424" s="5">
        <v>44798.0</v>
      </c>
    </row>
    <row r="425" hidden="1">
      <c r="A425" s="1" t="s">
        <v>99</v>
      </c>
      <c r="B425" s="1" t="s">
        <v>364</v>
      </c>
      <c r="C425" s="1" t="s">
        <v>1876</v>
      </c>
      <c r="D425" s="1" t="str">
        <f>Vlookup(C425,'Oil &amp; Gas Documents - Canada'!F:M,2,FALSE)</f>
        <v>#N/A</v>
      </c>
      <c r="E425" s="1" t="str">
        <f>Vlookup(C425,'Oil &amp; Gas Documents - Canada'!F:N,9,FALSE)</f>
        <v>#N/A</v>
      </c>
      <c r="F425" s="1" t="s">
        <v>1877</v>
      </c>
      <c r="G425" s="4" t="str">
        <f>HYPERLINK("http://nimonikapp.com/legislations/299319","http://nimonikapp.com/legislations/299319")</f>
        <v>http://nimonikapp.com/legislations/299319</v>
      </c>
      <c r="H425" s="1" t="s">
        <v>356</v>
      </c>
      <c r="I425" s="1" t="s">
        <v>1247</v>
      </c>
      <c r="J425" s="1" t="s">
        <v>1248</v>
      </c>
      <c r="K425" s="5">
        <v>44792.0</v>
      </c>
      <c r="L425" s="5">
        <v>44792.0</v>
      </c>
      <c r="M425" s="5">
        <v>44798.0</v>
      </c>
      <c r="N425" s="1" t="s">
        <v>1878</v>
      </c>
    </row>
    <row r="426" hidden="1">
      <c r="A426" s="1" t="s">
        <v>21</v>
      </c>
      <c r="B426" s="1" t="s">
        <v>25</v>
      </c>
      <c r="C426" s="1" t="s">
        <v>1879</v>
      </c>
      <c r="D426" s="1" t="str">
        <f>Vlookup(C426,'Oil &amp; Gas Documents - Canada'!F:M,2,FALSE)</f>
        <v>#N/A</v>
      </c>
      <c r="E426" s="1" t="str">
        <f>Vlookup(C426,'Oil &amp; Gas Documents - Canada'!F:N,9,FALSE)</f>
        <v>#N/A</v>
      </c>
      <c r="F426" s="1" t="s">
        <v>1880</v>
      </c>
      <c r="G426" s="4" t="str">
        <f>HYPERLINK("http://nimonikapp.com/legislations/14641","http://nimonikapp.com/legislations/14641")</f>
        <v>http://nimonikapp.com/legislations/14641</v>
      </c>
      <c r="H426" s="1" t="s">
        <v>18</v>
      </c>
      <c r="I426" s="1" t="s">
        <v>1881</v>
      </c>
      <c r="J426" s="1" t="s">
        <v>1882</v>
      </c>
      <c r="K426" s="5">
        <v>44788.0</v>
      </c>
      <c r="L426" s="5">
        <v>44761.0</v>
      </c>
      <c r="M426" s="5">
        <v>44797.0</v>
      </c>
      <c r="N426" s="1" t="s">
        <v>1883</v>
      </c>
    </row>
    <row r="427" hidden="1">
      <c r="A427" s="1" t="s">
        <v>24</v>
      </c>
      <c r="B427" s="1" t="s">
        <v>25</v>
      </c>
      <c r="C427" s="1" t="s">
        <v>1884</v>
      </c>
      <c r="D427" s="1" t="str">
        <f>Vlookup(C427,'Oil &amp; Gas Documents - Canada'!F:M,2,FALSE)</f>
        <v>#N/A</v>
      </c>
      <c r="E427" s="1" t="str">
        <f>Vlookup(C427,'Oil &amp; Gas Documents - Canada'!F:N,9,FALSE)</f>
        <v>#N/A</v>
      </c>
      <c r="F427" s="1" t="s">
        <v>1885</v>
      </c>
      <c r="G427" s="4" t="str">
        <f>HYPERLINK("http://nimonikapp.com/legislations/14337","http://nimonikapp.com/legislations/14337")</f>
        <v>http://nimonikapp.com/legislations/14337</v>
      </c>
      <c r="H427" s="1" t="s">
        <v>18</v>
      </c>
      <c r="I427" s="1" t="s">
        <v>1886</v>
      </c>
      <c r="J427" s="1" t="s">
        <v>1887</v>
      </c>
      <c r="K427" s="5">
        <v>44789.0</v>
      </c>
      <c r="L427" s="5">
        <v>44835.0</v>
      </c>
      <c r="M427" s="5">
        <v>44797.0</v>
      </c>
      <c r="N427" s="1" t="s">
        <v>1888</v>
      </c>
    </row>
    <row r="428">
      <c r="A428" s="1" t="s">
        <v>21</v>
      </c>
      <c r="B428" s="1" t="s">
        <v>25</v>
      </c>
      <c r="C428" s="1" t="s">
        <v>318</v>
      </c>
      <c r="D428" s="1" t="str">
        <f>Vlookup(C428,'Oil &amp; Gas Documents - Canada'!F:M,2,FALSE)</f>
        <v>general, oil_and_gas</v>
      </c>
      <c r="E428" s="1" t="str">
        <f>Vlookup(C428,'Oil &amp; Gas Documents - Canada'!F:N,9,FALSE)</f>
        <v/>
      </c>
      <c r="F428" s="1" t="s">
        <v>317</v>
      </c>
      <c r="G428" s="4" t="str">
        <f>HYPERLINK("http://nimonikapp.com/legislations/4114","http://nimonikapp.com/legislations/4114")</f>
        <v>http://nimonikapp.com/legislations/4114</v>
      </c>
      <c r="H428" s="1" t="s">
        <v>18</v>
      </c>
      <c r="I428" s="1" t="s">
        <v>320</v>
      </c>
      <c r="J428" s="1" t="s">
        <v>321</v>
      </c>
      <c r="K428" s="5">
        <v>44789.0</v>
      </c>
      <c r="L428" s="5">
        <v>44789.0</v>
      </c>
      <c r="M428" s="5">
        <v>44797.0</v>
      </c>
      <c r="N428" s="1" t="s">
        <v>319</v>
      </c>
    </row>
    <row r="429" hidden="1">
      <c r="A429" s="1" t="s">
        <v>21</v>
      </c>
      <c r="B429" s="1" t="s">
        <v>25</v>
      </c>
      <c r="C429" s="1" t="s">
        <v>1889</v>
      </c>
      <c r="D429" s="1" t="str">
        <f>Vlookup(C429,'Oil &amp; Gas Documents - Canada'!F:M,2,FALSE)</f>
        <v>#N/A</v>
      </c>
      <c r="E429" s="1" t="str">
        <f>Vlookup(C429,'Oil &amp; Gas Documents - Canada'!F:N,9,FALSE)</f>
        <v>#N/A</v>
      </c>
      <c r="F429" s="1" t="s">
        <v>1890</v>
      </c>
      <c r="G429" s="4" t="str">
        <f>HYPERLINK("http://nimonikapp.com/legislations/104517","http://nimonikapp.com/legislations/104517")</f>
        <v>http://nimonikapp.com/legislations/104517</v>
      </c>
      <c r="H429" s="1" t="s">
        <v>18</v>
      </c>
      <c r="I429" s="1" t="s">
        <v>1891</v>
      </c>
      <c r="J429" s="1" t="s">
        <v>1892</v>
      </c>
      <c r="K429" s="5">
        <v>44788.0</v>
      </c>
      <c r="L429" s="5">
        <v>44788.0</v>
      </c>
      <c r="M429" s="5">
        <v>44797.0</v>
      </c>
      <c r="N429" s="1" t="s">
        <v>1893</v>
      </c>
    </row>
    <row r="430">
      <c r="A430" s="1" t="s">
        <v>53</v>
      </c>
      <c r="B430" s="1" t="s">
        <v>15</v>
      </c>
      <c r="C430" s="1" t="s">
        <v>323</v>
      </c>
      <c r="D430" s="1" t="str">
        <f>Vlookup(C430,'Oil &amp; Gas Documents - Canada'!F:M,2,FALSE)</f>
        <v>oil_and_gas, utilities_and_communications</v>
      </c>
      <c r="E430" s="1" t="str">
        <f>Vlookup(C430,'Oil &amp; Gas Documents - Canada'!F:N,9,FALSE)</f>
        <v>[To consult the tables and Schedule "A", please visit: https://novascotia.ca/just/regulations/regs/petrol_prices.pdf].</v>
      </c>
      <c r="F430" s="1" t="s">
        <v>322</v>
      </c>
      <c r="G430" s="4" t="str">
        <f>HYPERLINK("http://nimonikapp.com/legislations/366605","http://nimonikapp.com/legislations/366605")</f>
        <v>http://nimonikapp.com/legislations/366605</v>
      </c>
      <c r="H430" s="1" t="s">
        <v>18</v>
      </c>
      <c r="K430" s="5">
        <v>44789.0</v>
      </c>
      <c r="M430" s="5">
        <v>44796.0</v>
      </c>
    </row>
    <row r="431">
      <c r="A431" s="1" t="s">
        <v>202</v>
      </c>
      <c r="B431" s="1" t="s">
        <v>15</v>
      </c>
      <c r="C431" s="1" t="s">
        <v>325</v>
      </c>
      <c r="D431" s="1" t="s">
        <v>26</v>
      </c>
      <c r="E431" s="1" t="str">
        <f>Vlookup(C431,'Oil &amp; Gas Documents - Canada'!F:N,9,FALSE)</f>
        <v>#N/A</v>
      </c>
      <c r="F431" s="1" t="s">
        <v>324</v>
      </c>
      <c r="G431" s="4" t="str">
        <f>HYPERLINK("http://nimonikapp.com/legislations/365735","http://nimonikapp.com/legislations/365735")</f>
        <v>http://nimonikapp.com/legislations/365735</v>
      </c>
      <c r="H431" s="1" t="s">
        <v>52</v>
      </c>
      <c r="K431" s="5">
        <v>44790.0</v>
      </c>
      <c r="L431" s="5">
        <v>45292.0</v>
      </c>
      <c r="M431" s="5">
        <v>44795.0</v>
      </c>
    </row>
    <row r="432" hidden="1">
      <c r="A432" s="1" t="s">
        <v>202</v>
      </c>
      <c r="B432" s="1" t="s">
        <v>15</v>
      </c>
      <c r="C432" s="1" t="s">
        <v>1894</v>
      </c>
      <c r="D432" s="1" t="str">
        <f>Vlookup(C432,'Oil &amp; Gas Documents - Canada'!F:M,2,FALSE)</f>
        <v>#N/A</v>
      </c>
      <c r="E432" s="1" t="str">
        <f>Vlookup(C432,'Oil &amp; Gas Documents - Canada'!F:N,9,FALSE)</f>
        <v>#N/A</v>
      </c>
      <c r="F432" s="1" t="s">
        <v>1895</v>
      </c>
      <c r="G432" s="4" t="str">
        <f>HYPERLINK("http://nimonikapp.com/legislations/365688","http://nimonikapp.com/legislations/365688")</f>
        <v>http://nimonikapp.com/legislations/365688</v>
      </c>
      <c r="H432" s="1" t="s">
        <v>69</v>
      </c>
      <c r="K432" s="5">
        <v>44790.0</v>
      </c>
      <c r="M432" s="5">
        <v>44795.0</v>
      </c>
    </row>
    <row r="433" hidden="1">
      <c r="A433" s="1" t="s">
        <v>73</v>
      </c>
      <c r="B433" s="1" t="s">
        <v>15</v>
      </c>
      <c r="C433" s="1" t="s">
        <v>1896</v>
      </c>
      <c r="D433" s="1" t="str">
        <f>Vlookup(C433,'Oil &amp; Gas Documents - Canada'!F:M,2,FALSE)</f>
        <v>#N/A</v>
      </c>
      <c r="E433" s="1" t="str">
        <f>Vlookup(C433,'Oil &amp; Gas Documents - Canada'!F:N,9,FALSE)</f>
        <v>#N/A</v>
      </c>
      <c r="F433" s="1" t="s">
        <v>1897</v>
      </c>
      <c r="G433" s="4" t="str">
        <f>HYPERLINK("http://nimonikapp.com/legislations/365733","http://nimonikapp.com/legislations/365733")</f>
        <v>http://nimonikapp.com/legislations/365733</v>
      </c>
      <c r="H433" s="1" t="s">
        <v>18</v>
      </c>
      <c r="K433" s="5">
        <v>44786.0</v>
      </c>
      <c r="L433" s="5">
        <v>44763.0</v>
      </c>
      <c r="M433" s="5">
        <v>44795.0</v>
      </c>
    </row>
    <row r="434" hidden="1">
      <c r="A434" s="1" t="s">
        <v>73</v>
      </c>
      <c r="B434" s="1" t="s">
        <v>25</v>
      </c>
      <c r="C434" s="1" t="s">
        <v>1069</v>
      </c>
      <c r="D434" s="1" t="str">
        <f>Vlookup(C434,'Oil &amp; Gas Documents - Canada'!F:M,2,FALSE)</f>
        <v>#N/A</v>
      </c>
      <c r="E434" s="1" t="str">
        <f>Vlookup(C434,'Oil &amp; Gas Documents - Canada'!F:N,9,FALSE)</f>
        <v>#N/A</v>
      </c>
      <c r="F434" s="1" t="s">
        <v>1070</v>
      </c>
      <c r="G434" s="4" t="str">
        <f>HYPERLINK("http://nimonikapp.com/legislations/897","http://nimonikapp.com/legislations/897")</f>
        <v>http://nimonikapp.com/legislations/897</v>
      </c>
      <c r="H434" s="1" t="s">
        <v>18</v>
      </c>
      <c r="I434" s="1" t="s">
        <v>1898</v>
      </c>
      <c r="J434" s="1" t="s">
        <v>1899</v>
      </c>
      <c r="K434" s="5">
        <v>44779.0</v>
      </c>
      <c r="L434" s="5">
        <v>44768.0</v>
      </c>
      <c r="M434" s="5">
        <v>44795.0</v>
      </c>
      <c r="N434" s="1" t="s">
        <v>1073</v>
      </c>
    </row>
    <row r="435" hidden="1">
      <c r="A435" s="1" t="s">
        <v>73</v>
      </c>
      <c r="B435" s="1" t="s">
        <v>25</v>
      </c>
      <c r="C435" s="1" t="s">
        <v>1033</v>
      </c>
      <c r="D435" s="1" t="str">
        <f>Vlookup(C435,'Oil &amp; Gas Documents - Canada'!F:M,2,FALSE)</f>
        <v>#N/A</v>
      </c>
      <c r="E435" s="1" t="str">
        <f>Vlookup(C435,'Oil &amp; Gas Documents - Canada'!F:N,9,FALSE)</f>
        <v>#N/A</v>
      </c>
      <c r="F435" s="1" t="s">
        <v>1034</v>
      </c>
      <c r="G435" s="4" t="str">
        <f>HYPERLINK("http://nimonikapp.com/legislations/895","http://nimonikapp.com/legislations/895")</f>
        <v>http://nimonikapp.com/legislations/895</v>
      </c>
      <c r="H435" s="1" t="s">
        <v>18</v>
      </c>
      <c r="I435" s="1" t="s">
        <v>1900</v>
      </c>
      <c r="J435" s="1" t="s">
        <v>1901</v>
      </c>
      <c r="K435" s="5">
        <v>44790.0</v>
      </c>
      <c r="L435" s="5">
        <v>44768.0</v>
      </c>
      <c r="M435" s="5">
        <v>44795.0</v>
      </c>
      <c r="N435" s="1" t="s">
        <v>1037</v>
      </c>
    </row>
    <row r="436" hidden="1">
      <c r="A436" s="1" t="s">
        <v>73</v>
      </c>
      <c r="B436" s="1" t="s">
        <v>25</v>
      </c>
      <c r="C436" s="1" t="s">
        <v>1902</v>
      </c>
      <c r="D436" s="1" t="str">
        <f>Vlookup(C436,'Oil &amp; Gas Documents - Canada'!F:M,2,FALSE)</f>
        <v>#N/A</v>
      </c>
      <c r="E436" s="1" t="str">
        <f>Vlookup(C436,'Oil &amp; Gas Documents - Canada'!F:N,9,FALSE)</f>
        <v>#N/A</v>
      </c>
      <c r="F436" s="1" t="s">
        <v>1903</v>
      </c>
      <c r="G436" s="4" t="str">
        <f>HYPERLINK("http://nimonikapp.com/legislations/291630","http://nimonikapp.com/legislations/291630")</f>
        <v>http://nimonikapp.com/legislations/291630</v>
      </c>
      <c r="H436" s="1" t="s">
        <v>18</v>
      </c>
      <c r="I436" s="1" t="s">
        <v>1904</v>
      </c>
      <c r="J436" s="1" t="s">
        <v>1905</v>
      </c>
      <c r="K436" s="5">
        <v>44793.0</v>
      </c>
      <c r="L436" s="5">
        <v>44793.0</v>
      </c>
      <c r="M436" s="5">
        <v>44795.0</v>
      </c>
      <c r="N436" s="1" t="s">
        <v>1906</v>
      </c>
    </row>
    <row r="437" hidden="1">
      <c r="A437" s="1" t="s">
        <v>73</v>
      </c>
      <c r="B437" s="1" t="s">
        <v>25</v>
      </c>
      <c r="C437" s="1" t="s">
        <v>1033</v>
      </c>
      <c r="D437" s="1" t="str">
        <f>Vlookup(C437,'Oil &amp; Gas Documents - Canada'!F:M,2,FALSE)</f>
        <v>#N/A</v>
      </c>
      <c r="E437" s="1" t="str">
        <f>Vlookup(C437,'Oil &amp; Gas Documents - Canada'!F:N,9,FALSE)</f>
        <v>#N/A</v>
      </c>
      <c r="F437" s="1" t="s">
        <v>1034</v>
      </c>
      <c r="G437" s="4" t="str">
        <f t="shared" ref="G437:G438" si="12">HYPERLINK("http://nimonikapp.com/legislations/895","http://nimonikapp.com/legislations/895")</f>
        <v>http://nimonikapp.com/legislations/895</v>
      </c>
      <c r="H437" s="1" t="s">
        <v>18</v>
      </c>
      <c r="I437" s="1" t="s">
        <v>1907</v>
      </c>
      <c r="J437" s="1" t="s">
        <v>1908</v>
      </c>
      <c r="K437" s="5">
        <v>44790.0</v>
      </c>
      <c r="L437" s="5">
        <v>44768.0</v>
      </c>
      <c r="M437" s="5">
        <v>44795.0</v>
      </c>
      <c r="N437" s="1" t="s">
        <v>1037</v>
      </c>
    </row>
    <row r="438" hidden="1">
      <c r="A438" s="1" t="s">
        <v>73</v>
      </c>
      <c r="B438" s="1" t="s">
        <v>25</v>
      </c>
      <c r="C438" s="1" t="s">
        <v>1033</v>
      </c>
      <c r="D438" s="1" t="str">
        <f>Vlookup(C438,'Oil &amp; Gas Documents - Canada'!F:M,2,FALSE)</f>
        <v>#N/A</v>
      </c>
      <c r="E438" s="1" t="str">
        <f>Vlookup(C438,'Oil &amp; Gas Documents - Canada'!F:N,9,FALSE)</f>
        <v>#N/A</v>
      </c>
      <c r="F438" s="1" t="s">
        <v>1034</v>
      </c>
      <c r="G438" s="4" t="str">
        <f t="shared" si="12"/>
        <v>http://nimonikapp.com/legislations/895</v>
      </c>
      <c r="H438" s="1" t="s">
        <v>18</v>
      </c>
      <c r="I438" s="1" t="s">
        <v>1909</v>
      </c>
      <c r="J438" s="1" t="s">
        <v>1910</v>
      </c>
      <c r="K438" s="5">
        <v>44790.0</v>
      </c>
      <c r="L438" s="5">
        <v>44769.0</v>
      </c>
      <c r="M438" s="5">
        <v>44795.0</v>
      </c>
      <c r="N438" s="1" t="s">
        <v>1037</v>
      </c>
    </row>
    <row r="439" hidden="1">
      <c r="A439" s="1" t="s">
        <v>202</v>
      </c>
      <c r="B439" s="1" t="s">
        <v>25</v>
      </c>
      <c r="C439" s="1" t="s">
        <v>1911</v>
      </c>
      <c r="D439" s="1" t="str">
        <f>Vlookup(C439,'Oil &amp; Gas Documents - Canada'!F:M,2,FALSE)</f>
        <v>#N/A</v>
      </c>
      <c r="E439" s="1" t="str">
        <f>Vlookup(C439,'Oil &amp; Gas Documents - Canada'!F:N,9,FALSE)</f>
        <v>#N/A</v>
      </c>
      <c r="F439" s="1" t="s">
        <v>821</v>
      </c>
      <c r="G439" s="4" t="str">
        <f>HYPERLINK("http://nimonikapp.com/legislations/40","http://nimonikapp.com/legislations/40")</f>
        <v>http://nimonikapp.com/legislations/40</v>
      </c>
      <c r="H439" s="1" t="s">
        <v>18</v>
      </c>
      <c r="I439" s="1" t="s">
        <v>1912</v>
      </c>
      <c r="J439" s="1" t="s">
        <v>1913</v>
      </c>
      <c r="K439" s="5">
        <v>44790.0</v>
      </c>
      <c r="M439" s="5">
        <v>44795.0</v>
      </c>
      <c r="N439" s="1" t="s">
        <v>1914</v>
      </c>
    </row>
    <row r="440" hidden="1">
      <c r="A440" s="1" t="s">
        <v>73</v>
      </c>
      <c r="B440" s="1" t="s">
        <v>25</v>
      </c>
      <c r="C440" s="1" t="s">
        <v>1045</v>
      </c>
      <c r="D440" s="1" t="str">
        <f>Vlookup(C440,'Oil &amp; Gas Documents - Canada'!F:M,2,FALSE)</f>
        <v>#N/A</v>
      </c>
      <c r="E440" s="1" t="str">
        <f>Vlookup(C440,'Oil &amp; Gas Documents - Canada'!F:N,9,FALSE)</f>
        <v>#N/A</v>
      </c>
      <c r="F440" s="1" t="s">
        <v>1046</v>
      </c>
      <c r="G440" s="4" t="str">
        <f>HYPERLINK("http://nimonikapp.com/legislations/321966","http://nimonikapp.com/legislations/321966")</f>
        <v>http://nimonikapp.com/legislations/321966</v>
      </c>
      <c r="H440" s="1" t="s">
        <v>18</v>
      </c>
      <c r="I440" s="1" t="s">
        <v>1915</v>
      </c>
      <c r="J440" s="1" t="s">
        <v>1048</v>
      </c>
      <c r="K440" s="5">
        <v>44790.0</v>
      </c>
      <c r="L440" s="5">
        <v>44771.0</v>
      </c>
      <c r="M440" s="5">
        <v>44795.0</v>
      </c>
      <c r="N440" s="1" t="s">
        <v>1049</v>
      </c>
    </row>
    <row r="441" hidden="1">
      <c r="A441" s="1" t="s">
        <v>202</v>
      </c>
      <c r="B441" s="1" t="s">
        <v>25</v>
      </c>
      <c r="C441" s="1" t="s">
        <v>1916</v>
      </c>
      <c r="D441" s="1" t="str">
        <f>Vlookup(C441,'Oil &amp; Gas Documents - Canada'!F:M,2,FALSE)</f>
        <v>#N/A</v>
      </c>
      <c r="E441" s="1" t="str">
        <f>Vlookup(C441,'Oil &amp; Gas Documents - Canada'!F:N,9,FALSE)</f>
        <v>#N/A</v>
      </c>
      <c r="F441" s="1" t="s">
        <v>1917</v>
      </c>
      <c r="G441" s="4" t="str">
        <f>HYPERLINK("http://nimonikapp.com/legislations/3868","http://nimonikapp.com/legislations/3868")</f>
        <v>http://nimonikapp.com/legislations/3868</v>
      </c>
      <c r="H441" s="1" t="s">
        <v>18</v>
      </c>
      <c r="I441" s="1" t="s">
        <v>1918</v>
      </c>
      <c r="J441" s="1" t="s">
        <v>1919</v>
      </c>
      <c r="K441" s="5">
        <v>44790.0</v>
      </c>
      <c r="L441" s="5">
        <v>44927.0</v>
      </c>
      <c r="M441" s="5">
        <v>44795.0</v>
      </c>
      <c r="N441" s="1" t="s">
        <v>1920</v>
      </c>
    </row>
    <row r="442" hidden="1">
      <c r="A442" s="1" t="s">
        <v>202</v>
      </c>
      <c r="B442" s="1" t="s">
        <v>25</v>
      </c>
      <c r="C442" s="1" t="s">
        <v>1921</v>
      </c>
      <c r="D442" s="1" t="str">
        <f>Vlookup(C442,'Oil &amp; Gas Documents - Canada'!F:M,2,FALSE)</f>
        <v>#N/A</v>
      </c>
      <c r="E442" s="1" t="str">
        <f>Vlookup(C442,'Oil &amp; Gas Documents - Canada'!F:N,9,FALSE)</f>
        <v>#N/A</v>
      </c>
      <c r="F442" s="1" t="s">
        <v>1922</v>
      </c>
      <c r="G442" s="4" t="str">
        <f>HYPERLINK("http://nimonikapp.com/legislations/942","http://nimonikapp.com/legislations/942")</f>
        <v>http://nimonikapp.com/legislations/942</v>
      </c>
      <c r="H442" s="1" t="s">
        <v>18</v>
      </c>
      <c r="I442" s="1" t="s">
        <v>1923</v>
      </c>
      <c r="J442" s="1" t="s">
        <v>1924</v>
      </c>
      <c r="K442" s="5">
        <v>44790.0</v>
      </c>
      <c r="L442" s="5">
        <v>44805.0</v>
      </c>
      <c r="M442" s="5">
        <v>44795.0</v>
      </c>
      <c r="N442" s="1" t="s">
        <v>1925</v>
      </c>
    </row>
    <row r="443">
      <c r="A443" s="1" t="s">
        <v>202</v>
      </c>
      <c r="B443" s="1" t="s">
        <v>25</v>
      </c>
      <c r="C443" s="1" t="s">
        <v>204</v>
      </c>
      <c r="D443" s="1" t="s">
        <v>26</v>
      </c>
      <c r="E443" s="1" t="str">
        <f>Vlookup(C443,'Oil &amp; Gas Documents - Canada'!F:N,9,FALSE)</f>
        <v>#N/A</v>
      </c>
      <c r="F443" s="1" t="s">
        <v>203</v>
      </c>
      <c r="G443" s="4" t="str">
        <f>HYPERLINK("http://nimonikapp.com/legislations/268535","http://nimonikapp.com/legislations/268535")</f>
        <v>http://nimonikapp.com/legislations/268535</v>
      </c>
      <c r="H443" s="1" t="s">
        <v>18</v>
      </c>
      <c r="I443" s="1" t="s">
        <v>326</v>
      </c>
      <c r="J443" s="1" t="s">
        <v>327</v>
      </c>
      <c r="K443" s="5">
        <v>44790.0</v>
      </c>
      <c r="L443" s="5">
        <v>44970.0</v>
      </c>
      <c r="M443" s="5">
        <v>44795.0</v>
      </c>
      <c r="N443" s="1" t="s">
        <v>205</v>
      </c>
    </row>
    <row r="444" hidden="1">
      <c r="A444" s="1" t="s">
        <v>202</v>
      </c>
      <c r="B444" s="1" t="s">
        <v>25</v>
      </c>
      <c r="C444" s="1" t="s">
        <v>1659</v>
      </c>
      <c r="D444" s="1" t="str">
        <f>Vlookup(C444,'Oil &amp; Gas Documents - Canada'!F:M,2,FALSE)</f>
        <v>#N/A</v>
      </c>
      <c r="E444" s="1" t="str">
        <f>Vlookup(C444,'Oil &amp; Gas Documents - Canada'!F:N,9,FALSE)</f>
        <v>#N/A</v>
      </c>
      <c r="F444" s="1" t="s">
        <v>1660</v>
      </c>
      <c r="G444" s="4" t="str">
        <f>HYPERLINK("http://nimonikapp.com/legislations/268529","http://nimonikapp.com/legislations/268529")</f>
        <v>http://nimonikapp.com/legislations/268529</v>
      </c>
      <c r="H444" s="1" t="s">
        <v>18</v>
      </c>
      <c r="I444" s="1" t="s">
        <v>1926</v>
      </c>
      <c r="J444" s="1" t="s">
        <v>1927</v>
      </c>
      <c r="K444" s="5">
        <v>44790.0</v>
      </c>
      <c r="L444" s="5">
        <v>44805.0</v>
      </c>
      <c r="M444" s="5">
        <v>44795.0</v>
      </c>
      <c r="N444" s="1" t="s">
        <v>1661</v>
      </c>
    </row>
    <row r="445" hidden="1">
      <c r="A445" s="1" t="s">
        <v>202</v>
      </c>
      <c r="B445" s="1" t="s">
        <v>25</v>
      </c>
      <c r="C445" s="1" t="s">
        <v>1928</v>
      </c>
      <c r="D445" s="1" t="str">
        <f>Vlookup(C445,'Oil &amp; Gas Documents - Canada'!F:M,2,FALSE)</f>
        <v>#N/A</v>
      </c>
      <c r="E445" s="1" t="str">
        <f>Vlookup(C445,'Oil &amp; Gas Documents - Canada'!F:N,9,FALSE)</f>
        <v>#N/A</v>
      </c>
      <c r="F445" s="1" t="s">
        <v>1929</v>
      </c>
      <c r="G445" s="4" t="str">
        <f>HYPERLINK("http://nimonikapp.com/legislations/929","http://nimonikapp.com/legislations/929")</f>
        <v>http://nimonikapp.com/legislations/929</v>
      </c>
      <c r="H445" s="1" t="s">
        <v>18</v>
      </c>
      <c r="I445" s="1" t="s">
        <v>1930</v>
      </c>
      <c r="J445" s="1" t="s">
        <v>1931</v>
      </c>
      <c r="K445" s="5">
        <v>44790.0</v>
      </c>
      <c r="L445" s="5">
        <v>44970.0</v>
      </c>
      <c r="M445" s="5">
        <v>44795.0</v>
      </c>
      <c r="N445" s="1" t="s">
        <v>1932</v>
      </c>
    </row>
    <row r="446" hidden="1">
      <c r="A446" s="1" t="s">
        <v>202</v>
      </c>
      <c r="B446" s="1" t="s">
        <v>25</v>
      </c>
      <c r="C446" s="1" t="s">
        <v>1933</v>
      </c>
      <c r="D446" s="1" t="str">
        <f>Vlookup(C446,'Oil &amp; Gas Documents - Canada'!F:M,2,FALSE)</f>
        <v>#N/A</v>
      </c>
      <c r="E446" s="1" t="str">
        <f>Vlookup(C446,'Oil &amp; Gas Documents - Canada'!F:N,9,FALSE)</f>
        <v>#N/A</v>
      </c>
      <c r="F446" s="1" t="s">
        <v>1934</v>
      </c>
      <c r="G446" s="4" t="str">
        <f>HYPERLINK("http://nimonikapp.com/legislations/268533","http://nimonikapp.com/legislations/268533")</f>
        <v>http://nimonikapp.com/legislations/268533</v>
      </c>
      <c r="H446" s="1" t="s">
        <v>18</v>
      </c>
      <c r="I446" s="1" t="s">
        <v>1935</v>
      </c>
      <c r="J446" s="1" t="s">
        <v>1936</v>
      </c>
      <c r="K446" s="5">
        <v>44790.0</v>
      </c>
      <c r="L446" s="5">
        <v>44970.0</v>
      </c>
      <c r="M446" s="5">
        <v>44795.0</v>
      </c>
      <c r="N446" s="1" t="s">
        <v>1937</v>
      </c>
    </row>
    <row r="447">
      <c r="A447" s="1" t="s">
        <v>202</v>
      </c>
      <c r="B447" s="1" t="s">
        <v>25</v>
      </c>
      <c r="C447" s="1" t="s">
        <v>329</v>
      </c>
      <c r="D447" s="1" t="s">
        <v>26</v>
      </c>
      <c r="E447" s="1" t="str">
        <f>Vlookup(C447,'Oil &amp; Gas Documents - Canada'!F:N,9,FALSE)</f>
        <v>#N/A</v>
      </c>
      <c r="F447" s="1" t="s">
        <v>328</v>
      </c>
      <c r="G447" s="4" t="str">
        <f>HYPERLINK("http://nimonikapp.com/legislations/96706","http://nimonikapp.com/legislations/96706")</f>
        <v>http://nimonikapp.com/legislations/96706</v>
      </c>
      <c r="H447" s="1" t="s">
        <v>18</v>
      </c>
      <c r="I447" s="1" t="s">
        <v>331</v>
      </c>
      <c r="J447" s="1" t="s">
        <v>332</v>
      </c>
      <c r="K447" s="5">
        <v>44790.0</v>
      </c>
      <c r="L447" s="5">
        <v>44805.0</v>
      </c>
      <c r="M447" s="5">
        <v>44795.0</v>
      </c>
      <c r="N447" s="1" t="s">
        <v>330</v>
      </c>
    </row>
    <row r="448" hidden="1">
      <c r="A448" s="1" t="s">
        <v>202</v>
      </c>
      <c r="B448" s="1" t="s">
        <v>25</v>
      </c>
      <c r="C448" s="1" t="s">
        <v>1938</v>
      </c>
      <c r="D448" s="1" t="str">
        <f>Vlookup(C448,'Oil &amp; Gas Documents - Canada'!F:M,2,FALSE)</f>
        <v>#N/A</v>
      </c>
      <c r="E448" s="1" t="str">
        <f>Vlookup(C448,'Oil &amp; Gas Documents - Canada'!F:N,9,FALSE)</f>
        <v>#N/A</v>
      </c>
      <c r="F448" s="1" t="s">
        <v>1939</v>
      </c>
      <c r="G448" s="4" t="str">
        <f>HYPERLINK("http://nimonikapp.com/legislations/930","http://nimonikapp.com/legislations/930")</f>
        <v>http://nimonikapp.com/legislations/930</v>
      </c>
      <c r="H448" s="1" t="s">
        <v>18</v>
      </c>
      <c r="I448" s="1" t="s">
        <v>1940</v>
      </c>
      <c r="J448" s="1" t="s">
        <v>1941</v>
      </c>
      <c r="K448" s="5">
        <v>44790.0</v>
      </c>
      <c r="L448" s="5">
        <v>44805.0</v>
      </c>
      <c r="M448" s="5">
        <v>44795.0</v>
      </c>
      <c r="N448" s="1" t="s">
        <v>1942</v>
      </c>
    </row>
    <row r="449">
      <c r="A449" s="1" t="s">
        <v>202</v>
      </c>
      <c r="B449" s="1" t="s">
        <v>25</v>
      </c>
      <c r="C449" s="1" t="s">
        <v>334</v>
      </c>
      <c r="D449" s="1" t="s">
        <v>26</v>
      </c>
      <c r="E449" s="1" t="str">
        <f>Vlookup(C449,'Oil &amp; Gas Documents - Canada'!F:N,9,FALSE)</f>
        <v>#N/A</v>
      </c>
      <c r="F449" s="1" t="s">
        <v>333</v>
      </c>
      <c r="G449" s="4" t="str">
        <f>HYPERLINK("http://nimonikapp.com/legislations/951","http://nimonikapp.com/legislations/951")</f>
        <v>http://nimonikapp.com/legislations/951</v>
      </c>
      <c r="H449" s="1" t="s">
        <v>18</v>
      </c>
      <c r="I449" s="1" t="s">
        <v>336</v>
      </c>
      <c r="J449" s="1" t="s">
        <v>337</v>
      </c>
      <c r="K449" s="5">
        <v>44790.0</v>
      </c>
      <c r="L449" s="5">
        <v>44805.0</v>
      </c>
      <c r="M449" s="5">
        <v>44795.0</v>
      </c>
      <c r="N449" s="1" t="s">
        <v>335</v>
      </c>
    </row>
    <row r="450" hidden="1">
      <c r="A450" s="1" t="s">
        <v>202</v>
      </c>
      <c r="B450" s="1" t="s">
        <v>25</v>
      </c>
      <c r="C450" s="1" t="s">
        <v>1943</v>
      </c>
      <c r="D450" s="1" t="str">
        <f>Vlookup(C450,'Oil &amp; Gas Documents - Canada'!F:M,2,FALSE)</f>
        <v>#N/A</v>
      </c>
      <c r="E450" s="1" t="str">
        <f>Vlookup(C450,'Oil &amp; Gas Documents - Canada'!F:N,9,FALSE)</f>
        <v>#N/A</v>
      </c>
      <c r="F450" s="1" t="s">
        <v>1944</v>
      </c>
      <c r="G450" s="4" t="str">
        <f>HYPERLINK("http://nimonikapp.com/legislations/3713","http://nimonikapp.com/legislations/3713")</f>
        <v>http://nimonikapp.com/legislations/3713</v>
      </c>
      <c r="H450" s="1" t="s">
        <v>18</v>
      </c>
      <c r="I450" s="1" t="s">
        <v>1945</v>
      </c>
      <c r="J450" s="1" t="s">
        <v>1946</v>
      </c>
      <c r="K450" s="5">
        <v>44790.0</v>
      </c>
      <c r="L450" s="5">
        <v>44805.0</v>
      </c>
      <c r="M450" s="5">
        <v>44795.0</v>
      </c>
      <c r="N450" s="1" t="s">
        <v>1947</v>
      </c>
    </row>
    <row r="451" hidden="1">
      <c r="A451" s="1" t="s">
        <v>73</v>
      </c>
      <c r="B451" s="1" t="s">
        <v>364</v>
      </c>
      <c r="C451" s="1" t="s">
        <v>1948</v>
      </c>
      <c r="D451" s="1" t="str">
        <f>Vlookup(C451,'Oil &amp; Gas Documents - Canada'!F:M,2,FALSE)</f>
        <v>#N/A</v>
      </c>
      <c r="E451" s="1" t="str">
        <f>Vlookup(C451,'Oil &amp; Gas Documents - Canada'!F:N,9,FALSE)</f>
        <v>#N/A</v>
      </c>
      <c r="F451" s="1" t="s">
        <v>1949</v>
      </c>
      <c r="G451" s="4" t="str">
        <f>HYPERLINK("http://nimonikapp.com/legislations/363682","http://nimonikapp.com/legislations/363682")</f>
        <v>http://nimonikapp.com/legislations/363682</v>
      </c>
      <c r="H451" s="1" t="s">
        <v>356</v>
      </c>
      <c r="I451" s="1" t="s">
        <v>1871</v>
      </c>
      <c r="J451" s="1" t="s">
        <v>1872</v>
      </c>
      <c r="K451" s="5">
        <v>44786.0</v>
      </c>
      <c r="L451" s="5">
        <v>44776.0</v>
      </c>
      <c r="M451" s="5">
        <v>44795.0</v>
      </c>
      <c r="N451" s="1" t="s">
        <v>1950</v>
      </c>
    </row>
    <row r="452" hidden="1">
      <c r="A452" s="1" t="s">
        <v>14</v>
      </c>
      <c r="B452" s="1" t="s">
        <v>25</v>
      </c>
      <c r="C452" s="1" t="s">
        <v>1951</v>
      </c>
      <c r="D452" s="1" t="str">
        <f>Vlookup(C452,'Oil &amp; Gas Documents - Canada'!F:M,2,FALSE)</f>
        <v>#N/A</v>
      </c>
      <c r="E452" s="1" t="str">
        <f>Vlookup(C452,'Oil &amp; Gas Documents - Canada'!F:N,9,FALSE)</f>
        <v>#N/A</v>
      </c>
      <c r="F452" s="1" t="s">
        <v>1952</v>
      </c>
      <c r="G452" s="4" t="str">
        <f>HYPERLINK("http://nimonikapp.com/legislations/4163","http://nimonikapp.com/legislations/4163")</f>
        <v>http://nimonikapp.com/legislations/4163</v>
      </c>
      <c r="H452" s="1" t="s">
        <v>18</v>
      </c>
      <c r="I452" s="1" t="s">
        <v>1953</v>
      </c>
      <c r="J452" s="1" t="s">
        <v>1954</v>
      </c>
      <c r="K452" s="5">
        <v>44778.0</v>
      </c>
      <c r="L452" s="5">
        <v>44835.0</v>
      </c>
      <c r="M452" s="5">
        <v>44788.0</v>
      </c>
      <c r="N452" s="1" t="s">
        <v>1955</v>
      </c>
    </row>
    <row r="453" hidden="1">
      <c r="A453" s="1" t="s">
        <v>21</v>
      </c>
      <c r="B453" s="1" t="s">
        <v>15</v>
      </c>
      <c r="C453" s="1" t="s">
        <v>1956</v>
      </c>
      <c r="D453" s="1" t="str">
        <f>Vlookup(C453,'Oil &amp; Gas Documents - Canada'!F:M,2,FALSE)</f>
        <v>#N/A</v>
      </c>
      <c r="E453" s="1" t="str">
        <f>Vlookup(C453,'Oil &amp; Gas Documents - Canada'!F:N,9,FALSE)</f>
        <v>#N/A</v>
      </c>
      <c r="F453" s="1" t="s">
        <v>1957</v>
      </c>
      <c r="G453" s="4" t="str">
        <f>HYPERLINK("http://nimonikapp.com/legislations/363915","http://nimonikapp.com/legislations/363915")</f>
        <v>http://nimonikapp.com/legislations/363915</v>
      </c>
      <c r="H453" s="1" t="s">
        <v>18</v>
      </c>
      <c r="K453" s="5">
        <v>44772.0</v>
      </c>
      <c r="L453" s="5">
        <v>44762.0</v>
      </c>
      <c r="M453" s="5">
        <v>44783.0</v>
      </c>
    </row>
    <row r="454" hidden="1">
      <c r="A454" s="1" t="s">
        <v>21</v>
      </c>
      <c r="B454" s="1" t="s">
        <v>25</v>
      </c>
      <c r="C454" s="1" t="s">
        <v>1958</v>
      </c>
      <c r="D454" s="1" t="str">
        <f>Vlookup(C454,'Oil &amp; Gas Documents - Canada'!F:M,2,FALSE)</f>
        <v>#N/A</v>
      </c>
      <c r="E454" s="1" t="str">
        <f>Vlookup(C454,'Oil &amp; Gas Documents - Canada'!F:N,9,FALSE)</f>
        <v>#N/A</v>
      </c>
      <c r="F454" s="1" t="s">
        <v>1959</v>
      </c>
      <c r="G454" s="4" t="str">
        <f>HYPERLINK("http://nimonikapp.com/legislations/14640","http://nimonikapp.com/legislations/14640")</f>
        <v>http://nimonikapp.com/legislations/14640</v>
      </c>
      <c r="H454" s="1" t="s">
        <v>18</v>
      </c>
      <c r="I454" s="1" t="s">
        <v>1960</v>
      </c>
      <c r="J454" s="1" t="s">
        <v>1961</v>
      </c>
      <c r="K454" s="5">
        <v>44772.0</v>
      </c>
      <c r="L454" s="5">
        <v>44819.0</v>
      </c>
      <c r="M454" s="5">
        <v>44783.0</v>
      </c>
      <c r="N454" s="1" t="s">
        <v>1962</v>
      </c>
    </row>
    <row r="455" hidden="1">
      <c r="A455" s="1" t="s">
        <v>21</v>
      </c>
      <c r="B455" s="1" t="s">
        <v>25</v>
      </c>
      <c r="C455" s="1" t="s">
        <v>1963</v>
      </c>
      <c r="D455" s="1" t="str">
        <f>Vlookup(C455,'Oil &amp; Gas Documents - Canada'!F:M,2,FALSE)</f>
        <v>#N/A</v>
      </c>
      <c r="E455" s="1" t="str">
        <f>Vlookup(C455,'Oil &amp; Gas Documents - Canada'!F:N,9,FALSE)</f>
        <v>#N/A</v>
      </c>
      <c r="F455" s="1" t="s">
        <v>1964</v>
      </c>
      <c r="G455" s="4" t="str">
        <f>HYPERLINK("http://nimonikapp.com/legislations/6408","http://nimonikapp.com/legislations/6408")</f>
        <v>http://nimonikapp.com/legislations/6408</v>
      </c>
      <c r="H455" s="1" t="s">
        <v>18</v>
      </c>
      <c r="I455" s="1" t="s">
        <v>1965</v>
      </c>
      <c r="J455" s="1" t="s">
        <v>1966</v>
      </c>
      <c r="K455" s="5">
        <v>44772.0</v>
      </c>
      <c r="L455" s="5">
        <v>44896.0</v>
      </c>
      <c r="M455" s="5">
        <v>44783.0</v>
      </c>
      <c r="N455" s="1" t="s">
        <v>1967</v>
      </c>
    </row>
    <row r="456" hidden="1">
      <c r="A456" s="1" t="s">
        <v>99</v>
      </c>
      <c r="B456" s="1" t="s">
        <v>25</v>
      </c>
      <c r="C456" s="1" t="s">
        <v>1968</v>
      </c>
      <c r="D456" s="1" t="str">
        <f>Vlookup(C456,'Oil &amp; Gas Documents - Canada'!F:M,2,FALSE)</f>
        <v>#N/A</v>
      </c>
      <c r="E456" s="1" t="str">
        <f>Vlookup(C456,'Oil &amp; Gas Documents - Canada'!F:N,9,FALSE)</f>
        <v>#N/A</v>
      </c>
      <c r="F456" s="1" t="s">
        <v>1969</v>
      </c>
      <c r="G456" s="4" t="str">
        <f>HYPERLINK("http://nimonikapp.com/legislations/7166","http://nimonikapp.com/legislations/7166")</f>
        <v>http://nimonikapp.com/legislations/7166</v>
      </c>
      <c r="H456" s="1" t="s">
        <v>18</v>
      </c>
      <c r="I456" s="1" t="s">
        <v>1970</v>
      </c>
      <c r="J456" s="1" t="s">
        <v>1971</v>
      </c>
      <c r="K456" s="5">
        <v>44774.0</v>
      </c>
      <c r="M456" s="5">
        <v>44783.0</v>
      </c>
    </row>
    <row r="457" hidden="1">
      <c r="A457" s="1" t="s">
        <v>21</v>
      </c>
      <c r="B457" s="1" t="s">
        <v>25</v>
      </c>
      <c r="C457" s="1" t="s">
        <v>1294</v>
      </c>
      <c r="D457" s="1" t="str">
        <f>Vlookup(C457,'Oil &amp; Gas Documents - Canada'!F:M,2,FALSE)</f>
        <v>#N/A</v>
      </c>
      <c r="E457" s="1" t="str">
        <f>Vlookup(C457,'Oil &amp; Gas Documents - Canada'!F:N,9,FALSE)</f>
        <v>#N/A</v>
      </c>
      <c r="F457" s="1" t="s">
        <v>1295</v>
      </c>
      <c r="G457" s="4" t="str">
        <f>HYPERLINK("http://nimonikapp.com/legislations/6409","http://nimonikapp.com/legislations/6409")</f>
        <v>http://nimonikapp.com/legislations/6409</v>
      </c>
      <c r="H457" s="1" t="s">
        <v>18</v>
      </c>
      <c r="I457" s="1" t="s">
        <v>1972</v>
      </c>
      <c r="J457" s="1" t="s">
        <v>1973</v>
      </c>
      <c r="K457" s="5">
        <v>44772.0</v>
      </c>
      <c r="L457" s="5">
        <v>44757.0</v>
      </c>
      <c r="M457" s="5">
        <v>44783.0</v>
      </c>
    </row>
    <row r="458" hidden="1">
      <c r="A458" s="1" t="s">
        <v>21</v>
      </c>
      <c r="B458" s="1" t="s">
        <v>25</v>
      </c>
      <c r="C458" s="1" t="s">
        <v>1974</v>
      </c>
      <c r="D458" s="1" t="str">
        <f>Vlookup(C458,'Oil &amp; Gas Documents - Canada'!F:M,2,FALSE)</f>
        <v>#N/A</v>
      </c>
      <c r="E458" s="1" t="str">
        <f>Vlookup(C458,'Oil &amp; Gas Documents - Canada'!F:N,9,FALSE)</f>
        <v>#N/A</v>
      </c>
      <c r="F458" s="1" t="s">
        <v>1975</v>
      </c>
      <c r="G458" s="4" t="str">
        <f>HYPERLINK("http://nimonikapp.com/legislations/94420","http://nimonikapp.com/legislations/94420")</f>
        <v>http://nimonikapp.com/legislations/94420</v>
      </c>
      <c r="H458" s="1" t="s">
        <v>18</v>
      </c>
      <c r="I458" s="1" t="s">
        <v>1976</v>
      </c>
      <c r="J458" s="1" t="s">
        <v>1977</v>
      </c>
      <c r="K458" s="5">
        <v>44772.0</v>
      </c>
      <c r="L458" s="5">
        <v>44896.0</v>
      </c>
      <c r="M458" s="5">
        <v>44783.0</v>
      </c>
      <c r="N458" s="1" t="s">
        <v>1978</v>
      </c>
    </row>
    <row r="459" hidden="1">
      <c r="A459" s="1" t="s">
        <v>21</v>
      </c>
      <c r="B459" s="1" t="s">
        <v>25</v>
      </c>
      <c r="C459" s="1" t="s">
        <v>1979</v>
      </c>
      <c r="D459" s="1" t="str">
        <f>Vlookup(C459,'Oil &amp; Gas Documents - Canada'!F:M,2,FALSE)</f>
        <v>#N/A</v>
      </c>
      <c r="E459" s="1" t="str">
        <f>Vlookup(C459,'Oil &amp; Gas Documents - Canada'!F:N,9,FALSE)</f>
        <v>#N/A</v>
      </c>
      <c r="F459" s="1" t="s">
        <v>1980</v>
      </c>
      <c r="G459" s="4" t="str">
        <f>HYPERLINK("http://nimonikapp.com/legislations/116388","http://nimonikapp.com/legislations/116388")</f>
        <v>http://nimonikapp.com/legislations/116388</v>
      </c>
      <c r="H459" s="1" t="s">
        <v>18</v>
      </c>
      <c r="I459" s="1" t="s">
        <v>1981</v>
      </c>
      <c r="J459" s="1" t="s">
        <v>1982</v>
      </c>
      <c r="K459" s="5">
        <v>44772.0</v>
      </c>
      <c r="L459" s="5">
        <v>44896.0</v>
      </c>
      <c r="M459" s="5">
        <v>44783.0</v>
      </c>
      <c r="N459" s="1" t="s">
        <v>1983</v>
      </c>
    </row>
    <row r="460" hidden="1">
      <c r="A460" s="1" t="s">
        <v>21</v>
      </c>
      <c r="B460" s="1" t="s">
        <v>25</v>
      </c>
      <c r="C460" s="1" t="s">
        <v>1984</v>
      </c>
      <c r="D460" s="1" t="str">
        <f>Vlookup(C460,'Oil &amp; Gas Documents - Canada'!F:M,2,FALSE)</f>
        <v>#N/A</v>
      </c>
      <c r="E460" s="1" t="str">
        <f>Vlookup(C460,'Oil &amp; Gas Documents - Canada'!F:N,9,FALSE)</f>
        <v>#N/A</v>
      </c>
      <c r="F460" s="1" t="s">
        <v>1985</v>
      </c>
      <c r="G460" s="4" t="str">
        <f>HYPERLINK("http://nimonikapp.com/legislations/6411","http://nimonikapp.com/legislations/6411")</f>
        <v>http://nimonikapp.com/legislations/6411</v>
      </c>
      <c r="H460" s="1" t="s">
        <v>18</v>
      </c>
      <c r="I460" s="1" t="s">
        <v>1986</v>
      </c>
      <c r="J460" s="1" t="s">
        <v>1987</v>
      </c>
      <c r="K460" s="5">
        <v>44772.0</v>
      </c>
      <c r="L460" s="5">
        <v>44866.0</v>
      </c>
      <c r="M460" s="5">
        <v>44783.0</v>
      </c>
      <c r="N460" s="1" t="s">
        <v>1988</v>
      </c>
    </row>
    <row r="461" hidden="1">
      <c r="A461" s="1" t="s">
        <v>202</v>
      </c>
      <c r="B461" s="1" t="s">
        <v>15</v>
      </c>
      <c r="C461" s="1" t="s">
        <v>1989</v>
      </c>
      <c r="D461" s="1" t="str">
        <f>Vlookup(C461,'Oil &amp; Gas Documents - Canada'!F:M,2,FALSE)</f>
        <v>#N/A</v>
      </c>
      <c r="E461" s="1" t="str">
        <f>Vlookup(C461,'Oil &amp; Gas Documents - Canada'!F:N,9,FALSE)</f>
        <v>#N/A</v>
      </c>
      <c r="F461" s="1" t="s">
        <v>1990</v>
      </c>
      <c r="G461" s="4" t="str">
        <f>HYPERLINK("http://nimonikapp.com/legislations/363750","http://nimonikapp.com/legislations/363750")</f>
        <v>http://nimonikapp.com/legislations/363750</v>
      </c>
      <c r="H461" s="1" t="s">
        <v>18</v>
      </c>
      <c r="K461" s="5">
        <v>44776.0</v>
      </c>
      <c r="L461" s="5">
        <v>44776.0</v>
      </c>
      <c r="M461" s="5">
        <v>44782.0</v>
      </c>
    </row>
    <row r="462" hidden="1">
      <c r="A462" s="1" t="s">
        <v>202</v>
      </c>
      <c r="B462" s="1" t="s">
        <v>15</v>
      </c>
      <c r="C462" s="1" t="s">
        <v>1991</v>
      </c>
      <c r="D462" s="1" t="str">
        <f>Vlookup(C462,'Oil &amp; Gas Documents - Canada'!F:M,2,FALSE)</f>
        <v>#N/A</v>
      </c>
      <c r="E462" s="1" t="str">
        <f>Vlookup(C462,'Oil &amp; Gas Documents - Canada'!F:N,9,FALSE)</f>
        <v>#N/A</v>
      </c>
      <c r="F462" s="1" t="s">
        <v>1992</v>
      </c>
      <c r="G462" s="4" t="str">
        <f>HYPERLINK("http://nimonikapp.com/legislations/363748","http://nimonikapp.com/legislations/363748")</f>
        <v>http://nimonikapp.com/legislations/363748</v>
      </c>
      <c r="H462" s="1" t="s">
        <v>18</v>
      </c>
      <c r="K462" s="5">
        <v>44776.0</v>
      </c>
      <c r="L462" s="5">
        <v>44776.0</v>
      </c>
      <c r="M462" s="5">
        <v>44782.0</v>
      </c>
    </row>
    <row r="463" hidden="1">
      <c r="A463" s="1" t="s">
        <v>66</v>
      </c>
      <c r="B463" s="1" t="s">
        <v>25</v>
      </c>
      <c r="C463" s="1" t="s">
        <v>1993</v>
      </c>
      <c r="D463" s="1" t="str">
        <f>Vlookup(C463,'Oil &amp; Gas Documents - Canada'!F:M,2,FALSE)</f>
        <v>#N/A</v>
      </c>
      <c r="E463" s="1" t="str">
        <f>Vlookup(C463,'Oil &amp; Gas Documents - Canada'!F:N,9,FALSE)</f>
        <v>#N/A</v>
      </c>
      <c r="F463" s="1" t="s">
        <v>821</v>
      </c>
      <c r="G463" s="4" t="str">
        <f>HYPERLINK("http://nimonikapp.com/legislations/15063","http://nimonikapp.com/legislations/15063")</f>
        <v>http://nimonikapp.com/legislations/15063</v>
      </c>
      <c r="H463" s="1" t="s">
        <v>18</v>
      </c>
      <c r="I463" s="1" t="s">
        <v>1994</v>
      </c>
      <c r="J463" s="1" t="s">
        <v>1995</v>
      </c>
      <c r="K463" s="5">
        <v>44776.0</v>
      </c>
      <c r="M463" s="5">
        <v>44782.0</v>
      </c>
      <c r="N463" s="1" t="s">
        <v>1996</v>
      </c>
    </row>
    <row r="464" hidden="1">
      <c r="A464" s="1" t="s">
        <v>66</v>
      </c>
      <c r="B464" s="1" t="s">
        <v>25</v>
      </c>
      <c r="C464" s="1" t="s">
        <v>1997</v>
      </c>
      <c r="D464" s="1" t="str">
        <f>Vlookup(C464,'Oil &amp; Gas Documents - Canada'!F:M,2,FALSE)</f>
        <v>#N/A</v>
      </c>
      <c r="E464" s="1" t="str">
        <f>Vlookup(C464,'Oil &amp; Gas Documents - Canada'!F:N,9,FALSE)</f>
        <v>#N/A</v>
      </c>
      <c r="F464" s="1" t="s">
        <v>1998</v>
      </c>
      <c r="G464" s="4" t="str">
        <f>HYPERLINK("http://nimonikapp.com/legislations/103515","http://nimonikapp.com/legislations/103515")</f>
        <v>http://nimonikapp.com/legislations/103515</v>
      </c>
      <c r="H464" s="1" t="s">
        <v>18</v>
      </c>
      <c r="I464" s="1" t="s">
        <v>1999</v>
      </c>
      <c r="J464" s="1" t="s">
        <v>2000</v>
      </c>
      <c r="K464" s="5">
        <v>44776.0</v>
      </c>
      <c r="M464" s="5">
        <v>44782.0</v>
      </c>
      <c r="N464" s="1" t="s">
        <v>2001</v>
      </c>
    </row>
    <row r="465" hidden="1">
      <c r="A465" s="1" t="s">
        <v>66</v>
      </c>
      <c r="B465" s="1" t="s">
        <v>25</v>
      </c>
      <c r="C465" s="1" t="s">
        <v>2002</v>
      </c>
      <c r="D465" s="1" t="str">
        <f>Vlookup(C465,'Oil &amp; Gas Documents - Canada'!F:M,2,FALSE)</f>
        <v>#N/A</v>
      </c>
      <c r="E465" s="1" t="str">
        <f>Vlookup(C465,'Oil &amp; Gas Documents - Canada'!F:N,9,FALSE)</f>
        <v>#N/A</v>
      </c>
      <c r="F465" s="1" t="s">
        <v>2003</v>
      </c>
      <c r="G465" s="4" t="str">
        <f>HYPERLINK("http://nimonikapp.com/legislations/315993","http://nimonikapp.com/legislations/315993")</f>
        <v>http://nimonikapp.com/legislations/315993</v>
      </c>
      <c r="H465" s="1" t="s">
        <v>18</v>
      </c>
      <c r="I465" s="1" t="s">
        <v>1999</v>
      </c>
      <c r="J465" s="1" t="s">
        <v>2000</v>
      </c>
      <c r="K465" s="5">
        <v>44776.0</v>
      </c>
      <c r="M465" s="5">
        <v>44782.0</v>
      </c>
      <c r="N465" s="1" t="s">
        <v>2004</v>
      </c>
    </row>
    <row r="466" hidden="1">
      <c r="A466" s="1" t="s">
        <v>66</v>
      </c>
      <c r="B466" s="1" t="s">
        <v>25</v>
      </c>
      <c r="C466" s="1" t="s">
        <v>2005</v>
      </c>
      <c r="D466" s="1" t="str">
        <f>Vlookup(C466,'Oil &amp; Gas Documents - Canada'!F:M,2,FALSE)</f>
        <v>#N/A</v>
      </c>
      <c r="E466" s="1" t="str">
        <f>Vlookup(C466,'Oil &amp; Gas Documents - Canada'!F:N,9,FALSE)</f>
        <v>#N/A</v>
      </c>
      <c r="F466" s="1" t="s">
        <v>2006</v>
      </c>
      <c r="G466" s="4" t="str">
        <f>HYPERLINK("http://nimonikapp.com/legislations/341563","http://nimonikapp.com/legislations/341563")</f>
        <v>http://nimonikapp.com/legislations/341563</v>
      </c>
      <c r="H466" s="1" t="s">
        <v>18</v>
      </c>
      <c r="I466" s="1" t="s">
        <v>1999</v>
      </c>
      <c r="J466" s="1" t="s">
        <v>2000</v>
      </c>
      <c r="K466" s="5">
        <v>44776.0</v>
      </c>
      <c r="M466" s="5">
        <v>44782.0</v>
      </c>
      <c r="N466" s="1" t="s">
        <v>2007</v>
      </c>
    </row>
    <row r="467" hidden="1">
      <c r="A467" s="1" t="s">
        <v>73</v>
      </c>
      <c r="B467" s="1" t="s">
        <v>25</v>
      </c>
      <c r="C467" s="1" t="s">
        <v>1033</v>
      </c>
      <c r="D467" s="1" t="str">
        <f>Vlookup(C467,'Oil &amp; Gas Documents - Canada'!F:M,2,FALSE)</f>
        <v>#N/A</v>
      </c>
      <c r="E467" s="1" t="str">
        <f>Vlookup(C467,'Oil &amp; Gas Documents - Canada'!F:N,9,FALSE)</f>
        <v>#N/A</v>
      </c>
      <c r="F467" s="1" t="s">
        <v>1034</v>
      </c>
      <c r="G467" s="4" t="str">
        <f t="shared" ref="G467:G468" si="13">HYPERLINK("http://nimonikapp.com/legislations/895","http://nimonikapp.com/legislations/895")</f>
        <v>http://nimonikapp.com/legislations/895</v>
      </c>
      <c r="H467" s="1" t="s">
        <v>18</v>
      </c>
      <c r="I467" s="1" t="s">
        <v>2008</v>
      </c>
      <c r="J467" s="1" t="s">
        <v>2009</v>
      </c>
      <c r="K467" s="5">
        <v>44776.0</v>
      </c>
      <c r="L467" s="5">
        <v>44760.0</v>
      </c>
      <c r="M467" s="5">
        <v>44782.0</v>
      </c>
      <c r="N467" s="1" t="s">
        <v>1037</v>
      </c>
    </row>
    <row r="468" hidden="1">
      <c r="A468" s="1" t="s">
        <v>73</v>
      </c>
      <c r="B468" s="1" t="s">
        <v>25</v>
      </c>
      <c r="C468" s="1" t="s">
        <v>1033</v>
      </c>
      <c r="D468" s="1" t="str">
        <f>Vlookup(C468,'Oil &amp; Gas Documents - Canada'!F:M,2,FALSE)</f>
        <v>#N/A</v>
      </c>
      <c r="E468" s="1" t="str">
        <f>Vlookup(C468,'Oil &amp; Gas Documents - Canada'!F:N,9,FALSE)</f>
        <v>#N/A</v>
      </c>
      <c r="F468" s="1" t="s">
        <v>1034</v>
      </c>
      <c r="G468" s="4" t="str">
        <f t="shared" si="13"/>
        <v>http://nimonikapp.com/legislations/895</v>
      </c>
      <c r="H468" s="1" t="s">
        <v>18</v>
      </c>
      <c r="I468" s="1" t="s">
        <v>2010</v>
      </c>
      <c r="J468" s="1" t="s">
        <v>2011</v>
      </c>
      <c r="K468" s="5">
        <v>44776.0</v>
      </c>
      <c r="L468" s="5">
        <v>44761.0</v>
      </c>
      <c r="M468" s="5">
        <v>44782.0</v>
      </c>
      <c r="N468" s="1" t="s">
        <v>1037</v>
      </c>
    </row>
    <row r="469" hidden="1">
      <c r="A469" s="1" t="s">
        <v>73</v>
      </c>
      <c r="B469" s="1" t="s">
        <v>25</v>
      </c>
      <c r="C469" s="1" t="s">
        <v>1069</v>
      </c>
      <c r="D469" s="1" t="str">
        <f>Vlookup(C469,'Oil &amp; Gas Documents - Canada'!F:M,2,FALSE)</f>
        <v>#N/A</v>
      </c>
      <c r="E469" s="1" t="str">
        <f>Vlookup(C469,'Oil &amp; Gas Documents - Canada'!F:N,9,FALSE)</f>
        <v>#N/A</v>
      </c>
      <c r="F469" s="1" t="s">
        <v>1070</v>
      </c>
      <c r="G469" s="4" t="str">
        <f>HYPERLINK("http://nimonikapp.com/legislations/897","http://nimonikapp.com/legislations/897")</f>
        <v>http://nimonikapp.com/legislations/897</v>
      </c>
      <c r="H469" s="1" t="s">
        <v>18</v>
      </c>
      <c r="I469" s="1" t="s">
        <v>2012</v>
      </c>
      <c r="J469" s="1" t="s">
        <v>2013</v>
      </c>
      <c r="K469" s="5">
        <v>44772.0</v>
      </c>
      <c r="L469" s="5">
        <v>44761.0</v>
      </c>
      <c r="M469" s="5">
        <v>44782.0</v>
      </c>
      <c r="N469" s="1" t="s">
        <v>1073</v>
      </c>
    </row>
    <row r="470" hidden="1">
      <c r="A470" s="1" t="s">
        <v>73</v>
      </c>
      <c r="B470" s="1" t="s">
        <v>25</v>
      </c>
      <c r="C470" s="1" t="s">
        <v>1045</v>
      </c>
      <c r="D470" s="1" t="str">
        <f>Vlookup(C470,'Oil &amp; Gas Documents - Canada'!F:M,2,FALSE)</f>
        <v>#N/A</v>
      </c>
      <c r="E470" s="1" t="str">
        <f>Vlookup(C470,'Oil &amp; Gas Documents - Canada'!F:N,9,FALSE)</f>
        <v>#N/A</v>
      </c>
      <c r="F470" s="1" t="s">
        <v>1046</v>
      </c>
      <c r="G470" s="4" t="str">
        <f>HYPERLINK("http://nimonikapp.com/legislations/321966","http://nimonikapp.com/legislations/321966")</f>
        <v>http://nimonikapp.com/legislations/321966</v>
      </c>
      <c r="H470" s="1" t="s">
        <v>18</v>
      </c>
      <c r="I470" s="1" t="s">
        <v>2014</v>
      </c>
      <c r="J470" s="1" t="s">
        <v>1048</v>
      </c>
      <c r="K470" s="5">
        <v>44776.0</v>
      </c>
      <c r="L470" s="5">
        <v>44756.0</v>
      </c>
      <c r="M470" s="5">
        <v>44781.0</v>
      </c>
      <c r="N470" s="1" t="s">
        <v>1049</v>
      </c>
    </row>
    <row r="471" hidden="1">
      <c r="A471" s="1" t="s">
        <v>73</v>
      </c>
      <c r="B471" s="1" t="s">
        <v>25</v>
      </c>
      <c r="C471" s="1" t="s">
        <v>2015</v>
      </c>
      <c r="D471" s="1" t="str">
        <f>Vlookup(C471,'Oil &amp; Gas Documents - Canada'!F:M,2,FALSE)</f>
        <v>#N/A</v>
      </c>
      <c r="E471" s="1" t="str">
        <f>Vlookup(C471,'Oil &amp; Gas Documents - Canada'!F:N,9,FALSE)</f>
        <v>#N/A</v>
      </c>
      <c r="F471" s="1" t="s">
        <v>2016</v>
      </c>
      <c r="G471" s="4" t="str">
        <f>HYPERLINK("http://nimonikapp.com/legislations/1595","http://nimonikapp.com/legislations/1595")</f>
        <v>http://nimonikapp.com/legislations/1595</v>
      </c>
      <c r="H471" s="1" t="s">
        <v>18</v>
      </c>
      <c r="I471" s="1" t="s">
        <v>2017</v>
      </c>
      <c r="J471" s="1" t="s">
        <v>2018</v>
      </c>
      <c r="K471" s="5">
        <v>44776.0</v>
      </c>
      <c r="L471" s="5">
        <v>44757.0</v>
      </c>
      <c r="M471" s="5">
        <v>44781.0</v>
      </c>
      <c r="N471" s="1" t="s">
        <v>2019</v>
      </c>
    </row>
    <row r="472" hidden="1">
      <c r="A472" s="1" t="s">
        <v>73</v>
      </c>
      <c r="B472" s="1" t="s">
        <v>364</v>
      </c>
      <c r="C472" s="1" t="s">
        <v>2020</v>
      </c>
      <c r="D472" s="1" t="str">
        <f>Vlookup(C472,'Oil &amp; Gas Documents - Canada'!F:M,2,FALSE)</f>
        <v>#N/A</v>
      </c>
      <c r="E472" s="1" t="str">
        <f>Vlookup(C472,'Oil &amp; Gas Documents - Canada'!F:N,9,FALSE)</f>
        <v>#N/A</v>
      </c>
      <c r="F472" s="1" t="s">
        <v>2021</v>
      </c>
      <c r="G472" s="4" t="str">
        <f>HYPERLINK("http://nimonikapp.com/legislations/361491","http://nimonikapp.com/legislations/361491")</f>
        <v>http://nimonikapp.com/legislations/361491</v>
      </c>
      <c r="H472" s="1" t="s">
        <v>356</v>
      </c>
      <c r="I472" s="1" t="s">
        <v>1948</v>
      </c>
      <c r="J472" s="1" t="s">
        <v>1949</v>
      </c>
      <c r="K472" s="5">
        <v>44772.0</v>
      </c>
      <c r="L472" s="5">
        <v>44763.0</v>
      </c>
      <c r="M472" s="5">
        <v>44781.0</v>
      </c>
      <c r="N472" s="1" t="s">
        <v>2022</v>
      </c>
    </row>
    <row r="473" hidden="1">
      <c r="A473" s="1" t="s">
        <v>66</v>
      </c>
      <c r="B473" s="1" t="s">
        <v>25</v>
      </c>
      <c r="C473" s="1" t="s">
        <v>2023</v>
      </c>
      <c r="D473" s="1" t="str">
        <f>Vlookup(C473,'Oil &amp; Gas Documents - Canada'!F:M,2,FALSE)</f>
        <v>#N/A</v>
      </c>
      <c r="E473" s="1" t="str">
        <f>Vlookup(C473,'Oil &amp; Gas Documents - Canada'!F:N,9,FALSE)</f>
        <v>#N/A</v>
      </c>
      <c r="F473" s="1" t="s">
        <v>2024</v>
      </c>
      <c r="G473" s="4" t="str">
        <f>HYPERLINK("http://nimonikapp.com/legislations/3985","http://nimonikapp.com/legislations/3985")</f>
        <v>http://nimonikapp.com/legislations/3985</v>
      </c>
      <c r="H473" s="1" t="s">
        <v>18</v>
      </c>
      <c r="I473" s="1" t="s">
        <v>2025</v>
      </c>
      <c r="J473" s="1" t="s">
        <v>2026</v>
      </c>
      <c r="K473" s="5">
        <v>44769.0</v>
      </c>
      <c r="L473" s="5">
        <v>44769.0</v>
      </c>
      <c r="M473" s="5">
        <v>44777.0</v>
      </c>
      <c r="N473" s="1" t="s">
        <v>2027</v>
      </c>
    </row>
    <row r="474" hidden="1">
      <c r="A474" s="1" t="s">
        <v>14</v>
      </c>
      <c r="B474" s="1" t="s">
        <v>25</v>
      </c>
      <c r="C474" s="1" t="s">
        <v>2028</v>
      </c>
      <c r="D474" s="1" t="str">
        <f>Vlookup(C474,'Oil &amp; Gas Documents - Canada'!F:M,2,FALSE)</f>
        <v>#N/A</v>
      </c>
      <c r="E474" s="1" t="str">
        <f>Vlookup(C474,'Oil &amp; Gas Documents - Canada'!F:N,9,FALSE)</f>
        <v>#N/A</v>
      </c>
      <c r="F474" s="1" t="s">
        <v>2029</v>
      </c>
      <c r="G474" s="4" t="str">
        <f>HYPERLINK("http://nimonikapp.com/legislations/4165","http://nimonikapp.com/legislations/4165")</f>
        <v>http://nimonikapp.com/legislations/4165</v>
      </c>
      <c r="H474" s="1" t="s">
        <v>18</v>
      </c>
      <c r="I474" s="1" t="s">
        <v>2030</v>
      </c>
      <c r="J474" s="1" t="s">
        <v>2031</v>
      </c>
      <c r="K474" s="5">
        <v>44771.0</v>
      </c>
      <c r="L474" s="5">
        <v>44763.0</v>
      </c>
      <c r="M474" s="5">
        <v>44775.0</v>
      </c>
      <c r="N474" s="1" t="s">
        <v>2032</v>
      </c>
    </row>
    <row r="475" hidden="1">
      <c r="A475" s="1" t="s">
        <v>66</v>
      </c>
      <c r="B475" s="1" t="s">
        <v>15</v>
      </c>
      <c r="C475" s="1" t="s">
        <v>2033</v>
      </c>
      <c r="D475" s="1" t="str">
        <f>Vlookup(C475,'Oil &amp; Gas Documents - Canada'!F:M,2,FALSE)</f>
        <v>#N/A</v>
      </c>
      <c r="E475" s="1" t="str">
        <f>Vlookup(C475,'Oil &amp; Gas Documents - Canada'!F:N,9,FALSE)</f>
        <v>#N/A</v>
      </c>
      <c r="F475" s="1" t="s">
        <v>2034</v>
      </c>
      <c r="G475" s="4" t="str">
        <f>HYPERLINK("http://nimonikapp.com/legislations/362773","http://nimonikapp.com/legislations/362773")</f>
        <v>http://nimonikapp.com/legislations/362773</v>
      </c>
      <c r="H475" s="1" t="s">
        <v>69</v>
      </c>
      <c r="K475" s="5">
        <v>44770.0</v>
      </c>
      <c r="M475" s="5">
        <v>44774.0</v>
      </c>
    </row>
    <row r="476" hidden="1">
      <c r="A476" s="1" t="s">
        <v>24</v>
      </c>
      <c r="B476" s="1" t="s">
        <v>25</v>
      </c>
      <c r="C476" s="1" t="s">
        <v>2035</v>
      </c>
      <c r="D476" s="1" t="str">
        <f>Vlookup(C476,'Oil &amp; Gas Documents - Canada'!F:M,2,FALSE)</f>
        <v>#N/A</v>
      </c>
      <c r="E476" s="1" t="str">
        <f>Vlookup(C476,'Oil &amp; Gas Documents - Canada'!F:N,9,FALSE)</f>
        <v>#N/A</v>
      </c>
      <c r="F476" s="1" t="s">
        <v>2036</v>
      </c>
      <c r="G476" s="4" t="str">
        <f>HYPERLINK("http://nimonikapp.com/legislations/268717","http://nimonikapp.com/legislations/268717")</f>
        <v>http://nimonikapp.com/legislations/268717</v>
      </c>
      <c r="H476" s="1" t="s">
        <v>18</v>
      </c>
      <c r="I476" s="1" t="s">
        <v>2037</v>
      </c>
      <c r="J476" s="1" t="s">
        <v>2038</v>
      </c>
      <c r="K476" s="5">
        <v>44768.0</v>
      </c>
      <c r="L476" s="5">
        <v>44762.0</v>
      </c>
      <c r="M476" s="5">
        <v>44774.0</v>
      </c>
    </row>
    <row r="477" hidden="1">
      <c r="A477" s="1" t="s">
        <v>99</v>
      </c>
      <c r="B477" s="1" t="s">
        <v>25</v>
      </c>
      <c r="C477" s="1" t="s">
        <v>1348</v>
      </c>
      <c r="D477" s="1" t="str">
        <f>Vlookup(C477,'Oil &amp; Gas Documents - Canada'!F:M,2,FALSE)</f>
        <v>#N/A</v>
      </c>
      <c r="E477" s="1" t="str">
        <f>Vlookup(C477,'Oil &amp; Gas Documents - Canada'!F:N,9,FALSE)</f>
        <v>#N/A</v>
      </c>
      <c r="F477" s="1" t="s">
        <v>1349</v>
      </c>
      <c r="G477" s="4" t="str">
        <f>HYPERLINK("http://nimonikapp.com/legislations/1572","http://nimonikapp.com/legislations/1572")</f>
        <v>http://nimonikapp.com/legislations/1572</v>
      </c>
      <c r="H477" s="1" t="s">
        <v>18</v>
      </c>
      <c r="I477" s="1" t="s">
        <v>2039</v>
      </c>
      <c r="J477" s="1" t="s">
        <v>2040</v>
      </c>
      <c r="K477" s="5">
        <v>44771.0</v>
      </c>
      <c r="L477" s="5">
        <v>44771.0</v>
      </c>
      <c r="M477" s="5">
        <v>44774.0</v>
      </c>
      <c r="N477" s="1" t="s">
        <v>1350</v>
      </c>
    </row>
    <row r="478" hidden="1">
      <c r="A478" s="1" t="s">
        <v>53</v>
      </c>
      <c r="B478" s="1" t="s">
        <v>25</v>
      </c>
      <c r="C478" s="1" t="s">
        <v>2041</v>
      </c>
      <c r="D478" s="1" t="str">
        <f>Vlookup(C478,'Oil &amp; Gas Documents - Canada'!F:M,2,FALSE)</f>
        <v>#N/A</v>
      </c>
      <c r="E478" s="1" t="str">
        <f>Vlookup(C478,'Oil &amp; Gas Documents - Canada'!F:N,9,FALSE)</f>
        <v>#N/A</v>
      </c>
      <c r="F478" s="1" t="s">
        <v>2042</v>
      </c>
      <c r="G478" s="4" t="str">
        <f>HYPERLINK("http://nimonikapp.com/legislations/15592","http://nimonikapp.com/legislations/15592")</f>
        <v>http://nimonikapp.com/legislations/15592</v>
      </c>
      <c r="H478" s="1" t="s">
        <v>18</v>
      </c>
      <c r="I478" s="1" t="s">
        <v>2043</v>
      </c>
      <c r="J478" s="1" t="s">
        <v>2044</v>
      </c>
      <c r="K478" s="5">
        <v>44771.0</v>
      </c>
      <c r="L478" s="5">
        <v>44761.0</v>
      </c>
      <c r="M478" s="5">
        <v>44774.0</v>
      </c>
      <c r="N478" s="1" t="s">
        <v>2045</v>
      </c>
    </row>
    <row r="479" hidden="1">
      <c r="A479" s="1" t="s">
        <v>73</v>
      </c>
      <c r="B479" s="1" t="s">
        <v>15</v>
      </c>
      <c r="C479" s="1" t="s">
        <v>2046</v>
      </c>
      <c r="D479" s="1" t="str">
        <f>Vlookup(C479,'Oil &amp; Gas Documents - Canada'!F:M,2,FALSE)</f>
        <v>#N/A</v>
      </c>
      <c r="E479" s="1" t="str">
        <f>Vlookup(C479,'Oil &amp; Gas Documents - Canada'!F:N,9,FALSE)</f>
        <v>#N/A</v>
      </c>
      <c r="F479" s="1" t="s">
        <v>2047</v>
      </c>
      <c r="G479" s="4" t="str">
        <f>HYPERLINK("http://nimonikapp.com/legislations/361462","http://nimonikapp.com/legislations/361462")</f>
        <v>http://nimonikapp.com/legislations/361462</v>
      </c>
      <c r="H479" s="1" t="s">
        <v>69</v>
      </c>
      <c r="K479" s="5">
        <v>44765.0</v>
      </c>
      <c r="M479" s="5">
        <v>44769.0</v>
      </c>
    </row>
    <row r="480" hidden="1">
      <c r="A480" s="1" t="s">
        <v>1105</v>
      </c>
      <c r="B480" s="1" t="s">
        <v>352</v>
      </c>
      <c r="C480" s="1" t="s">
        <v>2048</v>
      </c>
      <c r="D480" s="1" t="str">
        <f>Vlookup(C480,'Oil &amp; Gas Documents - Canada'!F:M,2,FALSE)</f>
        <v>#N/A</v>
      </c>
      <c r="E480" s="1" t="str">
        <f>Vlookup(C480,'Oil &amp; Gas Documents - Canada'!F:N,9,FALSE)</f>
        <v>#N/A</v>
      </c>
      <c r="F480" s="1" t="s">
        <v>2049</v>
      </c>
      <c r="G480" s="4" t="str">
        <f>HYPERLINK("http://nimonikapp.com/legislations/357901","http://nimonikapp.com/legislations/357901")</f>
        <v>http://nimonikapp.com/legislations/357901</v>
      </c>
      <c r="H480" s="1" t="s">
        <v>356</v>
      </c>
      <c r="I480" s="1" t="s">
        <v>2050</v>
      </c>
      <c r="J480" s="1" t="s">
        <v>2051</v>
      </c>
      <c r="K480" s="5">
        <v>44755.0</v>
      </c>
      <c r="L480" s="5">
        <v>44755.0</v>
      </c>
      <c r="M480" s="5">
        <v>44769.0</v>
      </c>
      <c r="N480" s="1" t="s">
        <v>2052</v>
      </c>
    </row>
    <row r="481" hidden="1">
      <c r="A481" s="1" t="s">
        <v>202</v>
      </c>
      <c r="B481" s="1" t="s">
        <v>25</v>
      </c>
      <c r="C481" s="1" t="s">
        <v>2053</v>
      </c>
      <c r="D481" s="1" t="str">
        <f>Vlookup(C481,'Oil &amp; Gas Documents - Canada'!F:M,2,FALSE)</f>
        <v>#N/A</v>
      </c>
      <c r="E481" s="1" t="str">
        <f>Vlookup(C481,'Oil &amp; Gas Documents - Canada'!F:N,9,FALSE)</f>
        <v>#N/A</v>
      </c>
      <c r="F481" s="1" t="s">
        <v>2054</v>
      </c>
      <c r="G481" s="4" t="str">
        <f>HYPERLINK("http://nimonikapp.com/legislations/16","http://nimonikapp.com/legislations/16")</f>
        <v>http://nimonikapp.com/legislations/16</v>
      </c>
      <c r="H481" s="1" t="s">
        <v>18</v>
      </c>
      <c r="I481" s="1" t="s">
        <v>2055</v>
      </c>
      <c r="J481" s="1" t="s">
        <v>2056</v>
      </c>
      <c r="K481" s="5">
        <v>44720.0</v>
      </c>
      <c r="L481" s="5">
        <v>44720.0</v>
      </c>
      <c r="M481" s="5">
        <v>44769.0</v>
      </c>
      <c r="N481" s="1" t="s">
        <v>2057</v>
      </c>
    </row>
    <row r="482" hidden="1">
      <c r="A482" s="1" t="s">
        <v>202</v>
      </c>
      <c r="B482" s="1" t="s">
        <v>25</v>
      </c>
      <c r="C482" s="1" t="s">
        <v>2058</v>
      </c>
      <c r="D482" s="1" t="str">
        <f>Vlookup(C482,'Oil &amp; Gas Documents - Canada'!F:M,2,FALSE)</f>
        <v>#N/A</v>
      </c>
      <c r="E482" s="1" t="str">
        <f>Vlookup(C482,'Oil &amp; Gas Documents - Canada'!F:N,9,FALSE)</f>
        <v>#N/A</v>
      </c>
      <c r="F482" s="1" t="s">
        <v>2059</v>
      </c>
      <c r="G482" s="4" t="str">
        <f>HYPERLINK("http://nimonikapp.com/legislations/41","http://nimonikapp.com/legislations/41")</f>
        <v>http://nimonikapp.com/legislations/41</v>
      </c>
      <c r="H482" s="1" t="s">
        <v>18</v>
      </c>
      <c r="I482" s="1" t="s">
        <v>2055</v>
      </c>
      <c r="J482" s="1" t="s">
        <v>2056</v>
      </c>
      <c r="K482" s="5">
        <v>44720.0</v>
      </c>
      <c r="L482" s="5">
        <v>44720.0</v>
      </c>
      <c r="M482" s="5">
        <v>44769.0</v>
      </c>
      <c r="N482" s="1" t="s">
        <v>2060</v>
      </c>
    </row>
    <row r="483" hidden="1">
      <c r="A483" s="1" t="s">
        <v>202</v>
      </c>
      <c r="B483" s="1" t="s">
        <v>25</v>
      </c>
      <c r="C483" s="1" t="s">
        <v>2061</v>
      </c>
      <c r="D483" s="1" t="str">
        <f>Vlookup(C483,'Oil &amp; Gas Documents - Canada'!F:M,2,FALSE)</f>
        <v>#N/A</v>
      </c>
      <c r="E483" s="1" t="str">
        <f>Vlookup(C483,'Oil &amp; Gas Documents - Canada'!F:N,9,FALSE)</f>
        <v>#N/A</v>
      </c>
      <c r="F483" s="1" t="s">
        <v>2062</v>
      </c>
      <c r="G483" s="4" t="str">
        <f>HYPERLINK("http://nimonikapp.com/legislations/45","http://nimonikapp.com/legislations/45")</f>
        <v>http://nimonikapp.com/legislations/45</v>
      </c>
      <c r="H483" s="1" t="s">
        <v>18</v>
      </c>
      <c r="I483" s="1" t="s">
        <v>2055</v>
      </c>
      <c r="J483" s="1" t="s">
        <v>2056</v>
      </c>
      <c r="K483" s="5">
        <v>44720.0</v>
      </c>
      <c r="L483" s="5">
        <v>44720.0</v>
      </c>
      <c r="M483" s="5">
        <v>44769.0</v>
      </c>
      <c r="N483" s="1" t="s">
        <v>2063</v>
      </c>
    </row>
    <row r="484" hidden="1">
      <c r="A484" s="1" t="s">
        <v>202</v>
      </c>
      <c r="B484" s="1" t="s">
        <v>25</v>
      </c>
      <c r="C484" s="1" t="s">
        <v>2064</v>
      </c>
      <c r="D484" s="1" t="str">
        <f>Vlookup(C484,'Oil &amp; Gas Documents - Canada'!F:M,2,FALSE)</f>
        <v>#N/A</v>
      </c>
      <c r="E484" s="1" t="str">
        <f>Vlookup(C484,'Oil &amp; Gas Documents - Canada'!F:N,9,FALSE)</f>
        <v>#N/A</v>
      </c>
      <c r="F484" s="1" t="s">
        <v>2065</v>
      </c>
      <c r="G484" s="4" t="str">
        <f>HYPERLINK("http://nimonikapp.com/legislations/706","http://nimonikapp.com/legislations/706")</f>
        <v>http://nimonikapp.com/legislations/706</v>
      </c>
      <c r="H484" s="1" t="s">
        <v>18</v>
      </c>
      <c r="I484" s="1" t="s">
        <v>2055</v>
      </c>
      <c r="J484" s="1" t="s">
        <v>2056</v>
      </c>
      <c r="K484" s="5">
        <v>44720.0</v>
      </c>
      <c r="L484" s="5">
        <v>44720.0</v>
      </c>
      <c r="M484" s="5">
        <v>44769.0</v>
      </c>
      <c r="N484" s="1" t="s">
        <v>2066</v>
      </c>
    </row>
    <row r="485" hidden="1">
      <c r="A485" s="1" t="s">
        <v>202</v>
      </c>
      <c r="B485" s="1" t="s">
        <v>25</v>
      </c>
      <c r="C485" s="1" t="s">
        <v>2067</v>
      </c>
      <c r="D485" s="1" t="str">
        <f>Vlookup(C485,'Oil &amp; Gas Documents - Canada'!F:M,2,FALSE)</f>
        <v>#N/A</v>
      </c>
      <c r="E485" s="1" t="str">
        <f>Vlookup(C485,'Oil &amp; Gas Documents - Canada'!F:N,9,FALSE)</f>
        <v>#N/A</v>
      </c>
      <c r="F485" s="1" t="s">
        <v>2068</v>
      </c>
      <c r="G485" s="4" t="str">
        <f>HYPERLINK("http://nimonikapp.com/legislations/212","http://nimonikapp.com/legislations/212")</f>
        <v>http://nimonikapp.com/legislations/212</v>
      </c>
      <c r="H485" s="1" t="s">
        <v>18</v>
      </c>
      <c r="I485" s="1" t="s">
        <v>2055</v>
      </c>
      <c r="J485" s="1" t="s">
        <v>2056</v>
      </c>
      <c r="K485" s="5">
        <v>44720.0</v>
      </c>
      <c r="L485" s="5">
        <v>44720.0</v>
      </c>
      <c r="M485" s="5">
        <v>44769.0</v>
      </c>
      <c r="N485" s="1" t="s">
        <v>2069</v>
      </c>
    </row>
    <row r="486" hidden="1">
      <c r="A486" s="1" t="s">
        <v>1105</v>
      </c>
      <c r="B486" s="1" t="s">
        <v>352</v>
      </c>
      <c r="C486" s="1" t="s">
        <v>2070</v>
      </c>
      <c r="D486" s="1" t="str">
        <f>Vlookup(C486,'Oil &amp; Gas Documents - Canada'!F:M,2,FALSE)</f>
        <v>#N/A</v>
      </c>
      <c r="E486" s="1" t="str">
        <f>Vlookup(C486,'Oil &amp; Gas Documents - Canada'!F:N,9,FALSE)</f>
        <v>#N/A</v>
      </c>
      <c r="F486" s="1" t="s">
        <v>2071</v>
      </c>
      <c r="G486" s="4" t="str">
        <f>HYPERLINK("http://nimonikapp.com/legislations/344100","http://nimonikapp.com/legislations/344100")</f>
        <v>http://nimonikapp.com/legislations/344100</v>
      </c>
      <c r="H486" s="1" t="s">
        <v>356</v>
      </c>
      <c r="I486" s="1" t="s">
        <v>2072</v>
      </c>
      <c r="J486" s="1" t="s">
        <v>2073</v>
      </c>
      <c r="K486" s="5">
        <v>44756.0</v>
      </c>
      <c r="L486" s="5">
        <v>44756.0</v>
      </c>
      <c r="M486" s="5">
        <v>44769.0</v>
      </c>
      <c r="N486" s="1" t="s">
        <v>2074</v>
      </c>
    </row>
    <row r="487" hidden="1">
      <c r="A487" s="1" t="s">
        <v>70</v>
      </c>
      <c r="B487" s="1" t="s">
        <v>25</v>
      </c>
      <c r="C487" s="1" t="s">
        <v>2075</v>
      </c>
      <c r="D487" s="1" t="str">
        <f>Vlookup(C487,'Oil &amp; Gas Documents - Canada'!F:M,2,FALSE)</f>
        <v>#N/A</v>
      </c>
      <c r="E487" s="1" t="str">
        <f>Vlookup(C487,'Oil &amp; Gas Documents - Canada'!F:N,9,FALSE)</f>
        <v>#N/A</v>
      </c>
      <c r="F487" s="1" t="s">
        <v>2076</v>
      </c>
      <c r="G487" s="4" t="str">
        <f>HYPERLINK("http://nimonikapp.com/legislations/160168","http://nimonikapp.com/legislations/160168")</f>
        <v>http://nimonikapp.com/legislations/160168</v>
      </c>
      <c r="H487" s="1" t="s">
        <v>18</v>
      </c>
      <c r="I487" s="1" t="s">
        <v>2077</v>
      </c>
      <c r="J487" s="1" t="s">
        <v>2078</v>
      </c>
      <c r="K487" s="5">
        <v>44779.0</v>
      </c>
      <c r="L487" s="5">
        <v>44763.0</v>
      </c>
      <c r="M487" s="5">
        <v>44769.0</v>
      </c>
      <c r="N487" s="1" t="s">
        <v>2079</v>
      </c>
    </row>
    <row r="488">
      <c r="A488" s="1" t="s">
        <v>73</v>
      </c>
      <c r="B488" s="1" t="s">
        <v>25</v>
      </c>
      <c r="C488" s="1" t="s">
        <v>339</v>
      </c>
      <c r="D488" s="1" t="s">
        <v>26</v>
      </c>
      <c r="E488" s="1" t="str">
        <f>Vlookup(C488,'Oil &amp; Gas Documents - Canada'!F:N,9,FALSE)</f>
        <v>#N/A</v>
      </c>
      <c r="F488" s="1" t="s">
        <v>338</v>
      </c>
      <c r="G488" s="4" t="str">
        <f>HYPERLINK("http://nimonikapp.com/legislations/904","http://nimonikapp.com/legislations/904")</f>
        <v>http://nimonikapp.com/legislations/904</v>
      </c>
      <c r="H488" s="1" t="s">
        <v>18</v>
      </c>
      <c r="I488" s="1" t="s">
        <v>341</v>
      </c>
      <c r="J488" s="1" t="s">
        <v>342</v>
      </c>
      <c r="K488" s="5">
        <v>44765.0</v>
      </c>
      <c r="L488" s="5">
        <v>44756.0</v>
      </c>
      <c r="M488" s="5">
        <v>44769.0</v>
      </c>
      <c r="N488" s="1" t="s">
        <v>340</v>
      </c>
    </row>
    <row r="489" hidden="1">
      <c r="A489" s="1" t="s">
        <v>73</v>
      </c>
      <c r="B489" s="1" t="s">
        <v>364</v>
      </c>
      <c r="C489" s="1" t="s">
        <v>2080</v>
      </c>
      <c r="D489" s="1" t="str">
        <f>Vlookup(C489,'Oil &amp; Gas Documents - Canada'!F:M,2,FALSE)</f>
        <v>#N/A</v>
      </c>
      <c r="E489" s="1" t="str">
        <f>Vlookup(C489,'Oil &amp; Gas Documents - Canada'!F:N,9,FALSE)</f>
        <v>#N/A</v>
      </c>
      <c r="F489" s="1" t="s">
        <v>2081</v>
      </c>
      <c r="G489" s="4" t="str">
        <f>HYPERLINK("http://nimonikapp.com/legislations/359535","http://nimonikapp.com/legislations/359535")</f>
        <v>http://nimonikapp.com/legislations/359535</v>
      </c>
      <c r="H489" s="1" t="s">
        <v>356</v>
      </c>
      <c r="I489" s="1" t="s">
        <v>2020</v>
      </c>
      <c r="J489" s="1" t="s">
        <v>2021</v>
      </c>
      <c r="K489" s="5">
        <v>44765.0</v>
      </c>
      <c r="L489" s="5">
        <v>44750.0</v>
      </c>
      <c r="M489" s="5">
        <v>44769.0</v>
      </c>
      <c r="N489" s="1" t="s">
        <v>2082</v>
      </c>
    </row>
    <row r="490" hidden="1">
      <c r="A490" s="1" t="s">
        <v>99</v>
      </c>
      <c r="B490" s="1" t="s">
        <v>25</v>
      </c>
      <c r="C490" s="1" t="s">
        <v>2083</v>
      </c>
      <c r="D490" s="1" t="str">
        <f>Vlookup(C490,'Oil &amp; Gas Documents - Canada'!F:M,2,FALSE)</f>
        <v>#N/A</v>
      </c>
      <c r="E490" s="1" t="str">
        <f>Vlookup(C490,'Oil &amp; Gas Documents - Canada'!F:N,9,FALSE)</f>
        <v>#N/A</v>
      </c>
      <c r="F490" s="1" t="s">
        <v>2084</v>
      </c>
      <c r="G490" s="4" t="str">
        <f>HYPERLINK("http://nimonikapp.com/legislations/3600","http://nimonikapp.com/legislations/3600")</f>
        <v>http://nimonikapp.com/legislations/3600</v>
      </c>
      <c r="H490" s="1" t="s">
        <v>18</v>
      </c>
      <c r="I490" s="1" t="s">
        <v>2085</v>
      </c>
      <c r="J490" s="1" t="s">
        <v>2086</v>
      </c>
      <c r="K490" s="5">
        <v>44764.0</v>
      </c>
      <c r="L490" s="5">
        <v>44764.0</v>
      </c>
      <c r="M490" s="5">
        <v>44767.0</v>
      </c>
      <c r="N490" s="1" t="s">
        <v>2087</v>
      </c>
    </row>
    <row r="491" hidden="1">
      <c r="A491" s="1" t="s">
        <v>557</v>
      </c>
      <c r="B491" s="1" t="s">
        <v>15</v>
      </c>
      <c r="C491" s="1" t="s">
        <v>2088</v>
      </c>
      <c r="D491" s="1" t="str">
        <f>Vlookup(C491,'Oil &amp; Gas Documents - Canada'!F:M,2,FALSE)</f>
        <v>#N/A</v>
      </c>
      <c r="E491" s="1" t="str">
        <f>Vlookup(C491,'Oil &amp; Gas Documents - Canada'!F:N,9,FALSE)</f>
        <v>#N/A</v>
      </c>
      <c r="F491" s="1" t="s">
        <v>2089</v>
      </c>
      <c r="G491" s="4" t="str">
        <f>HYPERLINK("http://nimonikapp.com/legislations/361130","http://nimonikapp.com/legislations/361130")</f>
        <v>http://nimonikapp.com/legislations/361130</v>
      </c>
      <c r="H491" s="1" t="s">
        <v>69</v>
      </c>
      <c r="K491" s="5">
        <v>44749.0</v>
      </c>
      <c r="M491" s="5">
        <v>44763.0</v>
      </c>
    </row>
    <row r="492" hidden="1">
      <c r="A492" s="1" t="s">
        <v>202</v>
      </c>
      <c r="B492" s="1" t="s">
        <v>15</v>
      </c>
      <c r="C492" s="1" t="s">
        <v>2090</v>
      </c>
      <c r="D492" s="1" t="str">
        <f>Vlookup(C492,'Oil &amp; Gas Documents - Canada'!F:M,2,FALSE)</f>
        <v>#N/A</v>
      </c>
      <c r="E492" s="1" t="str">
        <f>Vlookup(C492,'Oil &amp; Gas Documents - Canada'!F:N,9,FALSE)</f>
        <v>#N/A</v>
      </c>
      <c r="F492" s="1" t="s">
        <v>2091</v>
      </c>
      <c r="G492" s="4" t="str">
        <f>HYPERLINK("http://nimonikapp.com/legislations/361107","http://nimonikapp.com/legislations/361107")</f>
        <v>http://nimonikapp.com/legislations/361107</v>
      </c>
      <c r="H492" s="1" t="s">
        <v>18</v>
      </c>
      <c r="K492" s="5">
        <v>44762.0</v>
      </c>
      <c r="L492" s="5">
        <v>44762.0</v>
      </c>
      <c r="M492" s="5">
        <v>44763.0</v>
      </c>
    </row>
    <row r="493" hidden="1">
      <c r="A493" s="1" t="s">
        <v>53</v>
      </c>
      <c r="B493" s="1" t="s">
        <v>25</v>
      </c>
      <c r="C493" s="1" t="s">
        <v>2092</v>
      </c>
      <c r="D493" s="1" t="str">
        <f>Vlookup(C493,'Oil &amp; Gas Documents - Canada'!F:M,2,FALSE)</f>
        <v>#N/A</v>
      </c>
      <c r="E493" s="1" t="str">
        <f>Vlookup(C493,'Oil &amp; Gas Documents - Canada'!F:N,9,FALSE)</f>
        <v>#N/A</v>
      </c>
      <c r="F493" s="1" t="s">
        <v>2093</v>
      </c>
      <c r="G493" s="4" t="str">
        <f>HYPERLINK("http://nimonikapp.com/legislations/1173","http://nimonikapp.com/legislations/1173")</f>
        <v>http://nimonikapp.com/legislations/1173</v>
      </c>
      <c r="H493" s="1" t="s">
        <v>18</v>
      </c>
      <c r="I493" s="1" t="s">
        <v>2094</v>
      </c>
      <c r="J493" s="1" t="s">
        <v>2095</v>
      </c>
      <c r="K493" s="5">
        <v>44757.0</v>
      </c>
      <c r="L493" s="5">
        <v>45112.0</v>
      </c>
      <c r="M493" s="5">
        <v>44763.0</v>
      </c>
      <c r="N493" s="1" t="s">
        <v>2096</v>
      </c>
    </row>
    <row r="494" hidden="1">
      <c r="A494" s="1" t="s">
        <v>53</v>
      </c>
      <c r="B494" s="1" t="s">
        <v>25</v>
      </c>
      <c r="C494" s="1" t="s">
        <v>2097</v>
      </c>
      <c r="D494" s="1" t="str">
        <f>Vlookup(C494,'Oil &amp; Gas Documents - Canada'!F:M,2,FALSE)</f>
        <v>#N/A</v>
      </c>
      <c r="E494" s="1" t="str">
        <f>Vlookup(C494,'Oil &amp; Gas Documents - Canada'!F:N,9,FALSE)</f>
        <v>#N/A</v>
      </c>
      <c r="F494" s="1" t="s">
        <v>2098</v>
      </c>
      <c r="G494" s="4" t="str">
        <f>HYPERLINK("http://nimonikapp.com/legislations/1160","http://nimonikapp.com/legislations/1160")</f>
        <v>http://nimonikapp.com/legislations/1160</v>
      </c>
      <c r="H494" s="1" t="s">
        <v>18</v>
      </c>
      <c r="I494" s="1" t="s">
        <v>2099</v>
      </c>
      <c r="J494" s="1" t="s">
        <v>2100</v>
      </c>
      <c r="K494" s="5">
        <v>44757.0</v>
      </c>
      <c r="L494" s="5">
        <v>45112.0</v>
      </c>
      <c r="M494" s="5">
        <v>44763.0</v>
      </c>
      <c r="N494" s="1" t="s">
        <v>2101</v>
      </c>
    </row>
    <row r="495" hidden="1">
      <c r="A495" s="1" t="s">
        <v>73</v>
      </c>
      <c r="B495" s="1" t="s">
        <v>25</v>
      </c>
      <c r="C495" s="1" t="s">
        <v>1700</v>
      </c>
      <c r="D495" s="1" t="str">
        <f>Vlookup(C495,'Oil &amp; Gas Documents - Canada'!F:M,2,FALSE)</f>
        <v>#N/A</v>
      </c>
      <c r="E495" s="1" t="str">
        <f>Vlookup(C495,'Oil &amp; Gas Documents - Canada'!F:N,9,FALSE)</f>
        <v>#N/A</v>
      </c>
      <c r="F495" s="1" t="s">
        <v>1701</v>
      </c>
      <c r="G495" s="4" t="str">
        <f>HYPERLINK("http://nimonikapp.com/legislations/316971","http://nimonikapp.com/legislations/316971")</f>
        <v>http://nimonikapp.com/legislations/316971</v>
      </c>
      <c r="H495" s="1" t="s">
        <v>18</v>
      </c>
      <c r="I495" s="1" t="s">
        <v>2102</v>
      </c>
      <c r="J495" s="1" t="s">
        <v>2103</v>
      </c>
      <c r="K495" s="5">
        <v>44762.0</v>
      </c>
      <c r="L495" s="5">
        <v>44763.0</v>
      </c>
      <c r="M495" s="5">
        <v>44763.0</v>
      </c>
      <c r="N495" s="1" t="s">
        <v>1702</v>
      </c>
    </row>
    <row r="496" hidden="1">
      <c r="A496" s="1" t="s">
        <v>73</v>
      </c>
      <c r="B496" s="1" t="s">
        <v>25</v>
      </c>
      <c r="C496" s="1" t="s">
        <v>1703</v>
      </c>
      <c r="D496" s="1" t="str">
        <f>Vlookup(C496,'Oil &amp; Gas Documents - Canada'!F:M,2,FALSE)</f>
        <v>#N/A</v>
      </c>
      <c r="E496" s="1" t="str">
        <f>Vlookup(C496,'Oil &amp; Gas Documents - Canada'!F:N,9,FALSE)</f>
        <v>#N/A</v>
      </c>
      <c r="F496" s="1" t="s">
        <v>1704</v>
      </c>
      <c r="G496" s="4" t="str">
        <f t="shared" ref="G496:G497" si="14">HYPERLINK("http://nimonikapp.com/legislations/116860","http://nimonikapp.com/legislations/116860")</f>
        <v>http://nimonikapp.com/legislations/116860</v>
      </c>
      <c r="H496" s="1" t="s">
        <v>18</v>
      </c>
      <c r="I496" s="1" t="s">
        <v>2102</v>
      </c>
      <c r="J496" s="1" t="s">
        <v>2103</v>
      </c>
      <c r="K496" s="5">
        <v>44762.0</v>
      </c>
      <c r="L496" s="5">
        <v>44763.0</v>
      </c>
      <c r="M496" s="5">
        <v>44763.0</v>
      </c>
      <c r="N496" s="1" t="s">
        <v>1705</v>
      </c>
    </row>
    <row r="497" hidden="1">
      <c r="A497" s="1" t="s">
        <v>73</v>
      </c>
      <c r="B497" s="1" t="s">
        <v>25</v>
      </c>
      <c r="C497" s="1" t="s">
        <v>1703</v>
      </c>
      <c r="D497" s="1" t="str">
        <f>Vlookup(C497,'Oil &amp; Gas Documents - Canada'!F:M,2,FALSE)</f>
        <v>#N/A</v>
      </c>
      <c r="E497" s="1" t="str">
        <f>Vlookup(C497,'Oil &amp; Gas Documents - Canada'!F:N,9,FALSE)</f>
        <v>#N/A</v>
      </c>
      <c r="F497" s="1" t="s">
        <v>1704</v>
      </c>
      <c r="G497" s="4" t="str">
        <f t="shared" si="14"/>
        <v>http://nimonikapp.com/legislations/116860</v>
      </c>
      <c r="H497" s="1" t="s">
        <v>18</v>
      </c>
      <c r="I497" s="1" t="s">
        <v>2104</v>
      </c>
      <c r="J497" s="1" t="s">
        <v>2105</v>
      </c>
      <c r="K497" s="5">
        <v>44762.0</v>
      </c>
      <c r="L497" s="5">
        <v>44762.0</v>
      </c>
      <c r="M497" s="5">
        <v>44763.0</v>
      </c>
      <c r="N497" s="1" t="s">
        <v>1705</v>
      </c>
    </row>
    <row r="498" hidden="1">
      <c r="A498" s="1" t="s">
        <v>73</v>
      </c>
      <c r="B498" s="1" t="s">
        <v>25</v>
      </c>
      <c r="C498" s="1" t="s">
        <v>1045</v>
      </c>
      <c r="D498" s="1" t="str">
        <f>Vlookup(C498,'Oil &amp; Gas Documents - Canada'!F:M,2,FALSE)</f>
        <v>#N/A</v>
      </c>
      <c r="E498" s="1" t="str">
        <f>Vlookup(C498,'Oil &amp; Gas Documents - Canada'!F:N,9,FALSE)</f>
        <v>#N/A</v>
      </c>
      <c r="F498" s="1" t="s">
        <v>1046</v>
      </c>
      <c r="G498" s="4" t="str">
        <f>HYPERLINK("http://nimonikapp.com/legislations/321966","http://nimonikapp.com/legislations/321966")</f>
        <v>http://nimonikapp.com/legislations/321966</v>
      </c>
      <c r="H498" s="1" t="s">
        <v>18</v>
      </c>
      <c r="I498" s="1" t="s">
        <v>2106</v>
      </c>
      <c r="J498" s="1" t="s">
        <v>1048</v>
      </c>
      <c r="K498" s="5">
        <v>44762.0</v>
      </c>
      <c r="L498" s="5">
        <v>44750.0</v>
      </c>
      <c r="M498" s="5">
        <v>44763.0</v>
      </c>
      <c r="N498" s="1" t="s">
        <v>1049</v>
      </c>
    </row>
    <row r="499" hidden="1">
      <c r="A499" s="1" t="s">
        <v>202</v>
      </c>
      <c r="B499" s="1" t="s">
        <v>25</v>
      </c>
      <c r="C499" s="1" t="s">
        <v>725</v>
      </c>
      <c r="D499" s="1" t="str">
        <f>Vlookup(C499,'Oil &amp; Gas Documents - Canada'!F:M,2,FALSE)</f>
        <v>#N/A</v>
      </c>
      <c r="E499" s="1" t="str">
        <f>Vlookup(C499,'Oil &amp; Gas Documents - Canada'!F:N,9,FALSE)</f>
        <v>#N/A</v>
      </c>
      <c r="F499" s="1" t="s">
        <v>726</v>
      </c>
      <c r="G499" s="4" t="str">
        <f>HYPERLINK("http://nimonikapp.com/legislations/319473","http://nimonikapp.com/legislations/319473")</f>
        <v>http://nimonikapp.com/legislations/319473</v>
      </c>
      <c r="H499" s="1" t="s">
        <v>18</v>
      </c>
      <c r="I499" s="1" t="s">
        <v>343</v>
      </c>
      <c r="J499" s="1" t="s">
        <v>344</v>
      </c>
      <c r="K499" s="5">
        <v>44763.0</v>
      </c>
      <c r="L499" s="5">
        <v>44621.0</v>
      </c>
      <c r="M499" s="5">
        <v>44763.0</v>
      </c>
    </row>
    <row r="500">
      <c r="A500" s="1" t="s">
        <v>202</v>
      </c>
      <c r="B500" s="1" t="s">
        <v>25</v>
      </c>
      <c r="C500" s="1" t="s">
        <v>204</v>
      </c>
      <c r="D500" s="1" t="s">
        <v>26</v>
      </c>
      <c r="E500" s="1" t="str">
        <f>Vlookup(C500,'Oil &amp; Gas Documents - Canada'!F:N,9,FALSE)</f>
        <v>#N/A</v>
      </c>
      <c r="F500" s="1" t="s">
        <v>203</v>
      </c>
      <c r="G500" s="4" t="str">
        <f>HYPERLINK("http://nimonikapp.com/legislations/268535","http://nimonikapp.com/legislations/268535")</f>
        <v>http://nimonikapp.com/legislations/268535</v>
      </c>
      <c r="H500" s="1" t="s">
        <v>18</v>
      </c>
      <c r="I500" s="1" t="s">
        <v>343</v>
      </c>
      <c r="J500" s="1" t="s">
        <v>344</v>
      </c>
      <c r="K500" s="5">
        <v>44763.0</v>
      </c>
      <c r="L500" s="5">
        <v>44621.0</v>
      </c>
      <c r="M500" s="5">
        <v>44763.0</v>
      </c>
      <c r="N500" s="1" t="s">
        <v>205</v>
      </c>
    </row>
    <row r="501" hidden="1">
      <c r="A501" s="1" t="s">
        <v>73</v>
      </c>
      <c r="B501" s="1" t="s">
        <v>25</v>
      </c>
      <c r="C501" s="1" t="s">
        <v>1045</v>
      </c>
      <c r="D501" s="1" t="str">
        <f>Vlookup(C501,'Oil &amp; Gas Documents - Canada'!F:M,2,FALSE)</f>
        <v>#N/A</v>
      </c>
      <c r="E501" s="1" t="str">
        <f>Vlookup(C501,'Oil &amp; Gas Documents - Canada'!F:N,9,FALSE)</f>
        <v>#N/A</v>
      </c>
      <c r="F501" s="1" t="s">
        <v>1046</v>
      </c>
      <c r="G501" s="4" t="str">
        <f t="shared" ref="G501:G502" si="15">HYPERLINK("http://nimonikapp.com/legislations/321966","http://nimonikapp.com/legislations/321966")</f>
        <v>http://nimonikapp.com/legislations/321966</v>
      </c>
      <c r="H501" s="1" t="s">
        <v>18</v>
      </c>
      <c r="I501" s="1" t="s">
        <v>2107</v>
      </c>
      <c r="J501" s="1" t="s">
        <v>1048</v>
      </c>
      <c r="K501" s="5">
        <v>44762.0</v>
      </c>
      <c r="L501" s="5">
        <v>44750.0</v>
      </c>
      <c r="M501" s="5">
        <v>44763.0</v>
      </c>
      <c r="N501" s="1" t="s">
        <v>1049</v>
      </c>
    </row>
    <row r="502" hidden="1">
      <c r="A502" s="1" t="s">
        <v>73</v>
      </c>
      <c r="B502" s="1" t="s">
        <v>25</v>
      </c>
      <c r="C502" s="1" t="s">
        <v>1045</v>
      </c>
      <c r="D502" s="1" t="str">
        <f>Vlookup(C502,'Oil &amp; Gas Documents - Canada'!F:M,2,FALSE)</f>
        <v>#N/A</v>
      </c>
      <c r="E502" s="1" t="str">
        <f>Vlookup(C502,'Oil &amp; Gas Documents - Canada'!F:N,9,FALSE)</f>
        <v>#N/A</v>
      </c>
      <c r="F502" s="1" t="s">
        <v>1046</v>
      </c>
      <c r="G502" s="4" t="str">
        <f t="shared" si="15"/>
        <v>http://nimonikapp.com/legislations/321966</v>
      </c>
      <c r="H502" s="1" t="s">
        <v>18</v>
      </c>
      <c r="I502" s="1" t="s">
        <v>2108</v>
      </c>
      <c r="J502" s="1" t="s">
        <v>1048</v>
      </c>
      <c r="K502" s="5">
        <v>44762.0</v>
      </c>
      <c r="L502" s="5">
        <v>44750.0</v>
      </c>
      <c r="M502" s="5">
        <v>44763.0</v>
      </c>
      <c r="N502" s="1" t="s">
        <v>1049</v>
      </c>
    </row>
    <row r="503" hidden="1">
      <c r="A503" s="1" t="s">
        <v>202</v>
      </c>
      <c r="B503" s="1" t="s">
        <v>25</v>
      </c>
      <c r="C503" s="1" t="s">
        <v>2109</v>
      </c>
      <c r="D503" s="1" t="str">
        <f>Vlookup(C503,'Oil &amp; Gas Documents - Canada'!F:M,2,FALSE)</f>
        <v>#N/A</v>
      </c>
      <c r="E503" s="1" t="str">
        <f>Vlookup(C503,'Oil &amp; Gas Documents - Canada'!F:N,9,FALSE)</f>
        <v>#N/A</v>
      </c>
      <c r="F503" s="1" t="s">
        <v>2110</v>
      </c>
      <c r="G503" s="4" t="str">
        <f>HYPERLINK("http://nimonikapp.com/legislations/332","http://nimonikapp.com/legislations/332")</f>
        <v>http://nimonikapp.com/legislations/332</v>
      </c>
      <c r="H503" s="1" t="s">
        <v>18</v>
      </c>
      <c r="I503" s="1" t="s">
        <v>348</v>
      </c>
      <c r="J503" s="1" t="s">
        <v>349</v>
      </c>
      <c r="K503" s="5">
        <v>44715.0</v>
      </c>
      <c r="L503" s="5">
        <v>44715.0</v>
      </c>
      <c r="M503" s="5">
        <v>44763.0</v>
      </c>
    </row>
    <row r="504" hidden="1">
      <c r="A504" s="1" t="s">
        <v>202</v>
      </c>
      <c r="B504" s="1" t="s">
        <v>25</v>
      </c>
      <c r="C504" s="1" t="s">
        <v>2111</v>
      </c>
      <c r="D504" s="1" t="str">
        <f>Vlookup(C504,'Oil &amp; Gas Documents - Canada'!F:M,2,FALSE)</f>
        <v>#N/A</v>
      </c>
      <c r="E504" s="1" t="str">
        <f>Vlookup(C504,'Oil &amp; Gas Documents - Canada'!F:N,9,FALSE)</f>
        <v>#N/A</v>
      </c>
      <c r="F504" s="1" t="s">
        <v>2112</v>
      </c>
      <c r="G504" s="4" t="str">
        <f>HYPERLINK("http://nimonikapp.com/legislations/684","http://nimonikapp.com/legislations/684")</f>
        <v>http://nimonikapp.com/legislations/684</v>
      </c>
      <c r="H504" s="1" t="s">
        <v>18</v>
      </c>
      <c r="I504" s="1" t="s">
        <v>348</v>
      </c>
      <c r="J504" s="1" t="s">
        <v>349</v>
      </c>
      <c r="K504" s="5">
        <v>44715.0</v>
      </c>
      <c r="L504" s="5">
        <v>44715.0</v>
      </c>
      <c r="M504" s="5">
        <v>44763.0</v>
      </c>
    </row>
    <row r="505" hidden="1">
      <c r="A505" s="1" t="s">
        <v>202</v>
      </c>
      <c r="B505" s="1" t="s">
        <v>25</v>
      </c>
      <c r="C505" s="1" t="s">
        <v>2113</v>
      </c>
      <c r="D505" s="1" t="str">
        <f>Vlookup(C505,'Oil &amp; Gas Documents - Canada'!F:M,2,FALSE)</f>
        <v>#N/A</v>
      </c>
      <c r="E505" s="1" t="str">
        <f>Vlookup(C505,'Oil &amp; Gas Documents - Canada'!F:N,9,FALSE)</f>
        <v>#N/A</v>
      </c>
      <c r="F505" s="1" t="s">
        <v>50</v>
      </c>
      <c r="G505" s="4" t="str">
        <f>HYPERLINK("http://nimonikapp.com/legislations/15","http://nimonikapp.com/legislations/15")</f>
        <v>http://nimonikapp.com/legislations/15</v>
      </c>
      <c r="H505" s="1" t="s">
        <v>18</v>
      </c>
      <c r="I505" s="1" t="s">
        <v>348</v>
      </c>
      <c r="J505" s="1" t="s">
        <v>349</v>
      </c>
      <c r="K505" s="5">
        <v>44715.0</v>
      </c>
      <c r="L505" s="5">
        <v>44715.0</v>
      </c>
      <c r="M505" s="5">
        <v>44763.0</v>
      </c>
    </row>
    <row r="506" hidden="1">
      <c r="A506" s="1" t="s">
        <v>202</v>
      </c>
      <c r="B506" s="1" t="s">
        <v>25</v>
      </c>
      <c r="C506" s="1" t="s">
        <v>2114</v>
      </c>
      <c r="D506" s="1" t="str">
        <f>Vlookup(C506,'Oil &amp; Gas Documents - Canada'!F:M,2,FALSE)</f>
        <v>#N/A</v>
      </c>
      <c r="E506" s="1" t="str">
        <f>Vlookup(C506,'Oil &amp; Gas Documents - Canada'!F:N,9,FALSE)</f>
        <v>#N/A</v>
      </c>
      <c r="F506" s="1" t="s">
        <v>2115</v>
      </c>
      <c r="G506" s="4" t="str">
        <f>HYPERLINK("http://nimonikapp.com/legislations/46","http://nimonikapp.com/legislations/46")</f>
        <v>http://nimonikapp.com/legislations/46</v>
      </c>
      <c r="H506" s="1" t="s">
        <v>18</v>
      </c>
      <c r="I506" s="1" t="s">
        <v>348</v>
      </c>
      <c r="J506" s="1" t="s">
        <v>349</v>
      </c>
      <c r="K506" s="5">
        <v>44715.0</v>
      </c>
      <c r="L506" s="5">
        <v>44715.0</v>
      </c>
      <c r="M506" s="5">
        <v>44763.0</v>
      </c>
      <c r="N506" s="1" t="s">
        <v>2116</v>
      </c>
    </row>
    <row r="507">
      <c r="A507" s="1" t="s">
        <v>202</v>
      </c>
      <c r="B507" s="1" t="s">
        <v>25</v>
      </c>
      <c r="C507" s="1" t="s">
        <v>346</v>
      </c>
      <c r="D507" s="1" t="s">
        <v>26</v>
      </c>
      <c r="E507" s="1" t="str">
        <f>Vlookup(C507,'Oil &amp; Gas Documents - Canada'!F:N,9,FALSE)</f>
        <v>#N/A</v>
      </c>
      <c r="F507" s="1" t="s">
        <v>345</v>
      </c>
      <c r="G507" s="4" t="str">
        <f>HYPERLINK("http://nimonikapp.com/legislations/115","http://nimonikapp.com/legislations/115")</f>
        <v>http://nimonikapp.com/legislations/115</v>
      </c>
      <c r="H507" s="1" t="s">
        <v>18</v>
      </c>
      <c r="I507" s="1" t="s">
        <v>348</v>
      </c>
      <c r="J507" s="1" t="s">
        <v>349</v>
      </c>
      <c r="K507" s="5">
        <v>44715.0</v>
      </c>
      <c r="L507" s="5">
        <v>44715.0</v>
      </c>
      <c r="M507" s="5">
        <v>44763.0</v>
      </c>
      <c r="N507" s="1" t="s">
        <v>347</v>
      </c>
    </row>
    <row r="508" hidden="1">
      <c r="A508" s="1" t="s">
        <v>202</v>
      </c>
      <c r="B508" s="1" t="s">
        <v>25</v>
      </c>
      <c r="C508" s="1" t="s">
        <v>2117</v>
      </c>
      <c r="D508" s="1" t="str">
        <f>Vlookup(C508,'Oil &amp; Gas Documents - Canada'!F:M,2,FALSE)</f>
        <v>#N/A</v>
      </c>
      <c r="E508" s="1" t="str">
        <f>Vlookup(C508,'Oil &amp; Gas Documents - Canada'!F:N,9,FALSE)</f>
        <v>#N/A</v>
      </c>
      <c r="F508" s="1" t="s">
        <v>2118</v>
      </c>
      <c r="G508" s="4" t="str">
        <f>HYPERLINK("http://nimonikapp.com/legislations/14","http://nimonikapp.com/legislations/14")</f>
        <v>http://nimonikapp.com/legislations/14</v>
      </c>
      <c r="H508" s="1" t="s">
        <v>18</v>
      </c>
      <c r="I508" s="1" t="s">
        <v>348</v>
      </c>
      <c r="J508" s="1" t="s">
        <v>349</v>
      </c>
      <c r="K508" s="5">
        <v>44715.0</v>
      </c>
      <c r="L508" s="5">
        <v>44715.0</v>
      </c>
      <c r="M508" s="5">
        <v>44763.0</v>
      </c>
    </row>
    <row r="509" hidden="1">
      <c r="A509" s="1" t="s">
        <v>24</v>
      </c>
      <c r="B509" s="1" t="s">
        <v>15</v>
      </c>
      <c r="C509" s="1" t="s">
        <v>2119</v>
      </c>
      <c r="D509" s="1" t="str">
        <f>Vlookup(C509,'Oil &amp; Gas Documents - Canada'!F:M,2,FALSE)</f>
        <v>#N/A</v>
      </c>
      <c r="E509" s="1" t="str">
        <f>Vlookup(C509,'Oil &amp; Gas Documents - Canada'!F:N,9,FALSE)</f>
        <v>#N/A</v>
      </c>
      <c r="F509" s="1" t="s">
        <v>2120</v>
      </c>
      <c r="G509" s="4" t="str">
        <f>HYPERLINK("http://nimonikapp.com/legislations/360572","http://nimonikapp.com/legislations/360572")</f>
        <v>http://nimonikapp.com/legislations/360572</v>
      </c>
      <c r="H509" s="1" t="s">
        <v>18</v>
      </c>
      <c r="K509" s="5">
        <v>44754.0</v>
      </c>
      <c r="L509" s="5">
        <v>44753.0</v>
      </c>
      <c r="M509" s="5">
        <v>44761.0</v>
      </c>
    </row>
    <row r="510">
      <c r="A510" s="1" t="s">
        <v>21</v>
      </c>
      <c r="B510" s="1" t="s">
        <v>25</v>
      </c>
      <c r="C510" s="1" t="s">
        <v>105</v>
      </c>
      <c r="D510" s="1" t="str">
        <f>Vlookup(C510,'Oil &amp; Gas Documents - Canada'!F:M,2,FALSE)</f>
        <v>general, oil_and_gas</v>
      </c>
      <c r="E510" s="1" t="str">
        <f>Vlookup(C510,'Oil &amp; Gas Documents - Canada'!F:N,9,FALSE)</f>
        <v/>
      </c>
      <c r="F510" s="1" t="s">
        <v>104</v>
      </c>
      <c r="G510" s="4" t="str">
        <f>HYPERLINK("http://nimonikapp.com/legislations/4208","http://nimonikapp.com/legislations/4208")</f>
        <v>http://nimonikapp.com/legislations/4208</v>
      </c>
      <c r="H510" s="1" t="s">
        <v>18</v>
      </c>
      <c r="I510" s="1" t="s">
        <v>350</v>
      </c>
      <c r="J510" s="1" t="s">
        <v>351</v>
      </c>
      <c r="K510" s="5">
        <v>44757.0</v>
      </c>
      <c r="L510" s="5">
        <v>44734.0</v>
      </c>
      <c r="M510" s="5">
        <v>44761.0</v>
      </c>
      <c r="N510" s="1" t="s">
        <v>106</v>
      </c>
    </row>
    <row r="511" hidden="1">
      <c r="A511" s="1" t="s">
        <v>73</v>
      </c>
      <c r="B511" s="1" t="s">
        <v>15</v>
      </c>
      <c r="C511" s="1" t="s">
        <v>2121</v>
      </c>
      <c r="D511" s="1" t="str">
        <f>Vlookup(C511,'Oil &amp; Gas Documents - Canada'!F:M,2,FALSE)</f>
        <v>#N/A</v>
      </c>
      <c r="E511" s="1" t="str">
        <f>Vlookup(C511,'Oil &amp; Gas Documents - Canada'!F:N,9,FALSE)</f>
        <v>#N/A</v>
      </c>
      <c r="F511" s="1" t="s">
        <v>2122</v>
      </c>
      <c r="G511" s="4" t="str">
        <f>HYPERLINK("http://nimonikapp.com/legislations/360239","http://nimonikapp.com/legislations/360239")</f>
        <v>http://nimonikapp.com/legislations/360239</v>
      </c>
      <c r="H511" s="1" t="s">
        <v>18</v>
      </c>
      <c r="K511" s="5">
        <v>44758.0</v>
      </c>
      <c r="L511" s="5">
        <v>44747.0</v>
      </c>
      <c r="M511" s="5">
        <v>44760.0</v>
      </c>
    </row>
    <row r="512" hidden="1">
      <c r="A512" s="1" t="s">
        <v>21</v>
      </c>
      <c r="B512" s="1" t="s">
        <v>25</v>
      </c>
      <c r="C512" s="1" t="s">
        <v>2123</v>
      </c>
      <c r="D512" s="1" t="str">
        <f>Vlookup(C512,'Oil &amp; Gas Documents - Canada'!F:M,2,FALSE)</f>
        <v>#N/A</v>
      </c>
      <c r="E512" s="1" t="str">
        <f>Vlookup(C512,'Oil &amp; Gas Documents - Canada'!F:N,9,FALSE)</f>
        <v>#N/A</v>
      </c>
      <c r="F512" s="1" t="s">
        <v>2124</v>
      </c>
      <c r="G512" s="4" t="str">
        <f>HYPERLINK("http://nimonikapp.com/legislations/104378","http://nimonikapp.com/legislations/104378")</f>
        <v>http://nimonikapp.com/legislations/104378</v>
      </c>
      <c r="H512" s="1" t="s">
        <v>18</v>
      </c>
      <c r="I512" s="1" t="s">
        <v>2125</v>
      </c>
      <c r="J512" s="1" t="s">
        <v>2126</v>
      </c>
      <c r="K512" s="5">
        <v>44757.0</v>
      </c>
      <c r="L512" s="5">
        <v>44762.0</v>
      </c>
      <c r="M512" s="5">
        <v>44760.0</v>
      </c>
    </row>
    <row r="513" hidden="1">
      <c r="A513" s="1" t="s">
        <v>21</v>
      </c>
      <c r="B513" s="1" t="s">
        <v>25</v>
      </c>
      <c r="C513" s="1" t="s">
        <v>1974</v>
      </c>
      <c r="D513" s="1" t="str">
        <f>Vlookup(C513,'Oil &amp; Gas Documents - Canada'!F:M,2,FALSE)</f>
        <v>#N/A</v>
      </c>
      <c r="E513" s="1" t="str">
        <f>Vlookup(C513,'Oil &amp; Gas Documents - Canada'!F:N,9,FALSE)</f>
        <v>#N/A</v>
      </c>
      <c r="F513" s="1" t="s">
        <v>1975</v>
      </c>
      <c r="G513" s="4" t="str">
        <f>HYPERLINK("http://nimonikapp.com/legislations/94420","http://nimonikapp.com/legislations/94420")</f>
        <v>http://nimonikapp.com/legislations/94420</v>
      </c>
      <c r="H513" s="1" t="s">
        <v>18</v>
      </c>
      <c r="I513" s="1" t="s">
        <v>2125</v>
      </c>
      <c r="J513" s="1" t="s">
        <v>2126</v>
      </c>
      <c r="K513" s="5">
        <v>44757.0</v>
      </c>
      <c r="L513" s="5">
        <v>44762.0</v>
      </c>
      <c r="M513" s="5">
        <v>44760.0</v>
      </c>
      <c r="N513" s="1" t="s">
        <v>1978</v>
      </c>
    </row>
    <row r="514" hidden="1">
      <c r="A514" s="1" t="s">
        <v>21</v>
      </c>
      <c r="B514" s="1" t="s">
        <v>25</v>
      </c>
      <c r="C514" s="1" t="s">
        <v>2127</v>
      </c>
      <c r="D514" s="1" t="str">
        <f>Vlookup(C514,'Oil &amp; Gas Documents - Canada'!F:M,2,FALSE)</f>
        <v>#N/A</v>
      </c>
      <c r="E514" s="1" t="str">
        <f>Vlookup(C514,'Oil &amp; Gas Documents - Canada'!F:N,9,FALSE)</f>
        <v>#N/A</v>
      </c>
      <c r="F514" s="1" t="s">
        <v>2128</v>
      </c>
      <c r="G514" s="4" t="str">
        <f>HYPERLINK("http://nimonikapp.com/legislations/6227","http://nimonikapp.com/legislations/6227")</f>
        <v>http://nimonikapp.com/legislations/6227</v>
      </c>
      <c r="H514" s="1" t="s">
        <v>18</v>
      </c>
      <c r="I514" s="1" t="s">
        <v>2125</v>
      </c>
      <c r="J514" s="1" t="s">
        <v>2126</v>
      </c>
      <c r="K514" s="5">
        <v>44757.0</v>
      </c>
      <c r="L514" s="5">
        <v>44762.0</v>
      </c>
      <c r="M514" s="5">
        <v>44760.0</v>
      </c>
      <c r="N514" s="1" t="s">
        <v>2129</v>
      </c>
    </row>
    <row r="515" hidden="1">
      <c r="A515" s="1" t="s">
        <v>21</v>
      </c>
      <c r="B515" s="1" t="s">
        <v>25</v>
      </c>
      <c r="C515" s="1" t="s">
        <v>2130</v>
      </c>
      <c r="D515" s="1" t="str">
        <f>Vlookup(C515,'Oil &amp; Gas Documents - Canada'!F:M,2,FALSE)</f>
        <v>#N/A</v>
      </c>
      <c r="E515" s="1" t="str">
        <f>Vlookup(C515,'Oil &amp; Gas Documents - Canada'!F:N,9,FALSE)</f>
        <v>#N/A</v>
      </c>
      <c r="F515" s="1" t="s">
        <v>2131</v>
      </c>
      <c r="G515" s="4" t="str">
        <f>HYPERLINK("http://nimonikapp.com/legislations/6403","http://nimonikapp.com/legislations/6403")</f>
        <v>http://nimonikapp.com/legislations/6403</v>
      </c>
      <c r="H515" s="1" t="s">
        <v>18</v>
      </c>
      <c r="I515" s="1" t="s">
        <v>2125</v>
      </c>
      <c r="J515" s="1" t="s">
        <v>2126</v>
      </c>
      <c r="K515" s="5">
        <v>44757.0</v>
      </c>
      <c r="L515" s="5">
        <v>44762.0</v>
      </c>
      <c r="M515" s="5">
        <v>44760.0</v>
      </c>
      <c r="N515" s="1" t="s">
        <v>2132</v>
      </c>
    </row>
    <row r="516" hidden="1">
      <c r="A516" s="1" t="s">
        <v>21</v>
      </c>
      <c r="B516" s="1" t="s">
        <v>25</v>
      </c>
      <c r="C516" s="1" t="s">
        <v>2133</v>
      </c>
      <c r="D516" s="1" t="str">
        <f>Vlookup(C516,'Oil &amp; Gas Documents - Canada'!F:M,2,FALSE)</f>
        <v>#N/A</v>
      </c>
      <c r="E516" s="1" t="str">
        <f>Vlookup(C516,'Oil &amp; Gas Documents - Canada'!F:N,9,FALSE)</f>
        <v>#N/A</v>
      </c>
      <c r="F516" s="1" t="s">
        <v>2134</v>
      </c>
      <c r="G516" s="4" t="str">
        <f>HYPERLINK("http://nimonikapp.com/legislations/1139","http://nimonikapp.com/legislations/1139")</f>
        <v>http://nimonikapp.com/legislations/1139</v>
      </c>
      <c r="H516" s="1" t="s">
        <v>18</v>
      </c>
      <c r="I516" s="1" t="s">
        <v>2125</v>
      </c>
      <c r="J516" s="1" t="s">
        <v>2126</v>
      </c>
      <c r="K516" s="5">
        <v>44757.0</v>
      </c>
      <c r="L516" s="5">
        <v>44762.0</v>
      </c>
      <c r="M516" s="5">
        <v>44760.0</v>
      </c>
      <c r="N516" s="1" t="s">
        <v>2135</v>
      </c>
    </row>
    <row r="517" hidden="1">
      <c r="A517" s="1" t="s">
        <v>21</v>
      </c>
      <c r="B517" s="1" t="s">
        <v>25</v>
      </c>
      <c r="C517" s="1" t="s">
        <v>2136</v>
      </c>
      <c r="D517" s="1" t="str">
        <f>Vlookup(C517,'Oil &amp; Gas Documents - Canada'!F:M,2,FALSE)</f>
        <v>#N/A</v>
      </c>
      <c r="E517" s="1" t="str">
        <f>Vlookup(C517,'Oil &amp; Gas Documents - Canada'!F:N,9,FALSE)</f>
        <v>#N/A</v>
      </c>
      <c r="F517" s="1" t="s">
        <v>2137</v>
      </c>
      <c r="G517" s="4" t="str">
        <f>HYPERLINK("http://nimonikapp.com/legislations/118356","http://nimonikapp.com/legislations/118356")</f>
        <v>http://nimonikapp.com/legislations/118356</v>
      </c>
      <c r="H517" s="1" t="s">
        <v>18</v>
      </c>
      <c r="I517" s="1" t="s">
        <v>2125</v>
      </c>
      <c r="J517" s="1" t="s">
        <v>2126</v>
      </c>
      <c r="K517" s="5">
        <v>44757.0</v>
      </c>
      <c r="L517" s="5">
        <v>44762.0</v>
      </c>
      <c r="M517" s="5">
        <v>44760.0</v>
      </c>
      <c r="N517" s="1" t="s">
        <v>2138</v>
      </c>
    </row>
    <row r="518" hidden="1">
      <c r="A518" s="1" t="s">
        <v>21</v>
      </c>
      <c r="B518" s="1" t="s">
        <v>25</v>
      </c>
      <c r="C518" s="1" t="s">
        <v>2139</v>
      </c>
      <c r="D518" s="1" t="str">
        <f>Vlookup(C518,'Oil &amp; Gas Documents - Canada'!F:M,2,FALSE)</f>
        <v>#N/A</v>
      </c>
      <c r="E518" s="1" t="str">
        <f>Vlookup(C518,'Oil &amp; Gas Documents - Canada'!F:N,9,FALSE)</f>
        <v>#N/A</v>
      </c>
      <c r="F518" s="1" t="s">
        <v>2140</v>
      </c>
      <c r="G518" s="4" t="str">
        <f>HYPERLINK("http://nimonikapp.com/legislations/14642","http://nimonikapp.com/legislations/14642")</f>
        <v>http://nimonikapp.com/legislations/14642</v>
      </c>
      <c r="H518" s="1" t="s">
        <v>18</v>
      </c>
      <c r="I518" s="1" t="s">
        <v>2125</v>
      </c>
      <c r="J518" s="1" t="s">
        <v>2126</v>
      </c>
      <c r="K518" s="5">
        <v>44757.0</v>
      </c>
      <c r="L518" s="5">
        <v>44762.0</v>
      </c>
      <c r="M518" s="5">
        <v>44760.0</v>
      </c>
      <c r="N518" s="1" t="s">
        <v>2141</v>
      </c>
    </row>
    <row r="519" hidden="1">
      <c r="A519" s="1" t="s">
        <v>21</v>
      </c>
      <c r="B519" s="1" t="s">
        <v>25</v>
      </c>
      <c r="C519" s="1" t="s">
        <v>1963</v>
      </c>
      <c r="D519" s="1" t="str">
        <f>Vlookup(C519,'Oil &amp; Gas Documents - Canada'!F:M,2,FALSE)</f>
        <v>#N/A</v>
      </c>
      <c r="E519" s="1" t="str">
        <f>Vlookup(C519,'Oil &amp; Gas Documents - Canada'!F:N,9,FALSE)</f>
        <v>#N/A</v>
      </c>
      <c r="F519" s="1" t="s">
        <v>1964</v>
      </c>
      <c r="G519" s="4" t="str">
        <f>HYPERLINK("http://nimonikapp.com/legislations/6408","http://nimonikapp.com/legislations/6408")</f>
        <v>http://nimonikapp.com/legislations/6408</v>
      </c>
      <c r="H519" s="1" t="s">
        <v>18</v>
      </c>
      <c r="I519" s="1" t="s">
        <v>2125</v>
      </c>
      <c r="J519" s="1" t="s">
        <v>2126</v>
      </c>
      <c r="K519" s="5">
        <v>44757.0</v>
      </c>
      <c r="L519" s="5">
        <v>44762.0</v>
      </c>
      <c r="M519" s="5">
        <v>44760.0</v>
      </c>
      <c r="N519" s="1" t="s">
        <v>1967</v>
      </c>
    </row>
    <row r="520" hidden="1">
      <c r="A520" s="1" t="s">
        <v>21</v>
      </c>
      <c r="B520" s="1" t="s">
        <v>25</v>
      </c>
      <c r="C520" s="1" t="s">
        <v>2142</v>
      </c>
      <c r="D520" s="1" t="str">
        <f>Vlookup(C520,'Oil &amp; Gas Documents - Canada'!F:M,2,FALSE)</f>
        <v>#N/A</v>
      </c>
      <c r="E520" s="1" t="str">
        <f>Vlookup(C520,'Oil &amp; Gas Documents - Canada'!F:N,9,FALSE)</f>
        <v>#N/A</v>
      </c>
      <c r="F520" s="1" t="s">
        <v>2143</v>
      </c>
      <c r="G520" s="4" t="str">
        <f>HYPERLINK("http://nimonikapp.com/legislations/6395","http://nimonikapp.com/legislations/6395")</f>
        <v>http://nimonikapp.com/legislations/6395</v>
      </c>
      <c r="H520" s="1" t="s">
        <v>18</v>
      </c>
      <c r="I520" s="1" t="s">
        <v>2125</v>
      </c>
      <c r="J520" s="1" t="s">
        <v>2126</v>
      </c>
      <c r="K520" s="5">
        <v>44757.0</v>
      </c>
      <c r="L520" s="5">
        <v>44762.0</v>
      </c>
      <c r="M520" s="5">
        <v>44760.0</v>
      </c>
    </row>
    <row r="521" hidden="1">
      <c r="A521" s="1" t="s">
        <v>21</v>
      </c>
      <c r="B521" s="1" t="s">
        <v>352</v>
      </c>
      <c r="C521" s="1" t="s">
        <v>2144</v>
      </c>
      <c r="D521" s="1" t="str">
        <f>Vlookup(C521,'Oil &amp; Gas Documents - Canada'!F:M,2,FALSE)</f>
        <v>#N/A</v>
      </c>
      <c r="E521" s="1" t="str">
        <f>Vlookup(C521,'Oil &amp; Gas Documents - Canada'!F:N,9,FALSE)</f>
        <v>#N/A</v>
      </c>
      <c r="F521" s="1" t="s">
        <v>2145</v>
      </c>
      <c r="G521" s="4" t="str">
        <f>HYPERLINK("http://nimonikapp.com/legislations/4319","http://nimonikapp.com/legislations/4319")</f>
        <v>http://nimonikapp.com/legislations/4319</v>
      </c>
      <c r="H521" s="1" t="s">
        <v>356</v>
      </c>
      <c r="I521" s="1" t="s">
        <v>357</v>
      </c>
      <c r="J521" s="1" t="s">
        <v>358</v>
      </c>
      <c r="K521" s="5">
        <v>44757.0</v>
      </c>
      <c r="L521" s="5">
        <v>44762.0</v>
      </c>
      <c r="M521" s="5">
        <v>44760.0</v>
      </c>
      <c r="N521" s="1" t="s">
        <v>355</v>
      </c>
    </row>
    <row r="522">
      <c r="A522" s="1" t="s">
        <v>21</v>
      </c>
      <c r="B522" s="1" t="s">
        <v>352</v>
      </c>
      <c r="C522" s="1" t="s">
        <v>354</v>
      </c>
      <c r="D522" s="1" t="s">
        <v>26</v>
      </c>
      <c r="E522" s="1" t="str">
        <f>Vlookup(C522,'Oil &amp; Gas Documents - Canada'!F:N,9,FALSE)</f>
        <v>#N/A</v>
      </c>
      <c r="F522" s="1" t="s">
        <v>353</v>
      </c>
      <c r="G522" s="4" t="str">
        <f>HYPERLINK("http://nimonikapp.com/legislations/1391","http://nimonikapp.com/legislations/1391")</f>
        <v>http://nimonikapp.com/legislations/1391</v>
      </c>
      <c r="H522" s="1" t="s">
        <v>356</v>
      </c>
      <c r="I522" s="1" t="s">
        <v>357</v>
      </c>
      <c r="J522" s="1" t="s">
        <v>358</v>
      </c>
      <c r="K522" s="5">
        <v>44757.0</v>
      </c>
      <c r="L522" s="5">
        <v>44762.0</v>
      </c>
      <c r="M522" s="5">
        <v>44760.0</v>
      </c>
      <c r="N522" s="1" t="s">
        <v>355</v>
      </c>
    </row>
    <row r="523" hidden="1">
      <c r="A523" s="1" t="s">
        <v>21</v>
      </c>
      <c r="B523" s="1" t="s">
        <v>352</v>
      </c>
      <c r="C523" s="1" t="s">
        <v>2146</v>
      </c>
      <c r="D523" s="1" t="str">
        <f>Vlookup(C523,'Oil &amp; Gas Documents - Canada'!F:M,2,FALSE)</f>
        <v>#N/A</v>
      </c>
      <c r="E523" s="1" t="str">
        <f>Vlookup(C523,'Oil &amp; Gas Documents - Canada'!F:N,9,FALSE)</f>
        <v>#N/A</v>
      </c>
      <c r="F523" s="1" t="s">
        <v>2147</v>
      </c>
      <c r="G523" s="4" t="str">
        <f>HYPERLINK("http://nimonikapp.com/legislations/115675","http://nimonikapp.com/legislations/115675")</f>
        <v>http://nimonikapp.com/legislations/115675</v>
      </c>
      <c r="H523" s="1" t="s">
        <v>356</v>
      </c>
      <c r="I523" s="1" t="s">
        <v>357</v>
      </c>
      <c r="J523" s="1" t="s">
        <v>358</v>
      </c>
      <c r="K523" s="5">
        <v>44757.0</v>
      </c>
      <c r="L523" s="5">
        <v>44762.0</v>
      </c>
      <c r="M523" s="5">
        <v>44760.0</v>
      </c>
      <c r="N523" s="1" t="s">
        <v>355</v>
      </c>
    </row>
    <row r="524" hidden="1">
      <c r="A524" s="1" t="s">
        <v>21</v>
      </c>
      <c r="B524" s="1" t="s">
        <v>352</v>
      </c>
      <c r="C524" s="1" t="s">
        <v>2148</v>
      </c>
      <c r="D524" s="1" t="str">
        <f>Vlookup(C524,'Oil &amp; Gas Documents - Canada'!F:M,2,FALSE)</f>
        <v>#N/A</v>
      </c>
      <c r="E524" s="1" t="str">
        <f>Vlookup(C524,'Oil &amp; Gas Documents - Canada'!F:N,9,FALSE)</f>
        <v>#N/A</v>
      </c>
      <c r="F524" s="1" t="s">
        <v>2149</v>
      </c>
      <c r="G524" s="4" t="str">
        <f>HYPERLINK("http://nimonikapp.com/legislations/1390","http://nimonikapp.com/legislations/1390")</f>
        <v>http://nimonikapp.com/legislations/1390</v>
      </c>
      <c r="H524" s="1" t="s">
        <v>356</v>
      </c>
      <c r="I524" s="1" t="s">
        <v>357</v>
      </c>
      <c r="J524" s="1" t="s">
        <v>358</v>
      </c>
      <c r="K524" s="5">
        <v>44757.0</v>
      </c>
      <c r="L524" s="5">
        <v>44762.0</v>
      </c>
      <c r="M524" s="5">
        <v>44760.0</v>
      </c>
      <c r="N524" s="1" t="s">
        <v>355</v>
      </c>
    </row>
    <row r="525">
      <c r="A525" s="1" t="s">
        <v>221</v>
      </c>
      <c r="B525" s="1" t="s">
        <v>25</v>
      </c>
      <c r="C525" s="1" t="s">
        <v>360</v>
      </c>
      <c r="D525" s="1" t="s">
        <v>26</v>
      </c>
      <c r="E525" s="1" t="str">
        <f>Vlookup(C525,'Oil &amp; Gas Documents - Canada'!F:N,9,FALSE)</f>
        <v>#N/A</v>
      </c>
      <c r="F525" s="1" t="s">
        <v>359</v>
      </c>
      <c r="G525" s="4" t="str">
        <f>HYPERLINK("http://nimonikapp.com/legislations/118497","http://nimonikapp.com/legislations/118497")</f>
        <v>http://nimonikapp.com/legislations/118497</v>
      </c>
      <c r="H525" s="1" t="s">
        <v>18</v>
      </c>
      <c r="I525" s="1" t="s">
        <v>362</v>
      </c>
      <c r="J525" s="1" t="s">
        <v>363</v>
      </c>
      <c r="K525" s="5">
        <v>44749.0</v>
      </c>
      <c r="L525" s="5">
        <v>44805.0</v>
      </c>
      <c r="M525" s="5">
        <v>44757.0</v>
      </c>
      <c r="N525" s="1" t="s">
        <v>361</v>
      </c>
    </row>
    <row r="526" hidden="1">
      <c r="A526" s="1" t="s">
        <v>202</v>
      </c>
      <c r="B526" s="1" t="s">
        <v>15</v>
      </c>
      <c r="C526" s="1" t="s">
        <v>2150</v>
      </c>
      <c r="D526" s="1" t="str">
        <f>Vlookup(C526,'Oil &amp; Gas Documents - Canada'!F:M,2,FALSE)</f>
        <v>#N/A</v>
      </c>
      <c r="E526" s="1" t="str">
        <f>Vlookup(C526,'Oil &amp; Gas Documents - Canada'!F:N,9,FALSE)</f>
        <v>#N/A</v>
      </c>
      <c r="F526" s="1" t="s">
        <v>2151</v>
      </c>
      <c r="G526" s="4" t="str">
        <f>HYPERLINK("http://nimonikapp.com/legislations/359575","http://nimonikapp.com/legislations/359575")</f>
        <v>http://nimonikapp.com/legislations/359575</v>
      </c>
      <c r="H526" s="1" t="s">
        <v>69</v>
      </c>
      <c r="K526" s="5">
        <v>44755.0</v>
      </c>
      <c r="M526" s="5">
        <v>44755.0</v>
      </c>
    </row>
    <row r="527" hidden="1">
      <c r="A527" s="1" t="s">
        <v>14</v>
      </c>
      <c r="B527" s="1" t="s">
        <v>25</v>
      </c>
      <c r="C527" s="1" t="s">
        <v>1769</v>
      </c>
      <c r="D527" s="1" t="str">
        <f>Vlookup(C527,'Oil &amp; Gas Documents - Canada'!F:M,2,FALSE)</f>
        <v>#N/A</v>
      </c>
      <c r="E527" s="1" t="str">
        <f>Vlookup(C527,'Oil &amp; Gas Documents - Canada'!F:N,9,FALSE)</f>
        <v>#N/A</v>
      </c>
      <c r="F527" s="1" t="s">
        <v>1770</v>
      </c>
      <c r="G527" s="4" t="str">
        <f>HYPERLINK("http://nimonikapp.com/legislations/118475","http://nimonikapp.com/legislations/118475")</f>
        <v>http://nimonikapp.com/legislations/118475</v>
      </c>
      <c r="H527" s="1" t="s">
        <v>18</v>
      </c>
      <c r="I527" s="1" t="s">
        <v>2152</v>
      </c>
      <c r="J527" s="1" t="s">
        <v>2153</v>
      </c>
      <c r="K527" s="5">
        <v>44699.0</v>
      </c>
      <c r="L527" s="5">
        <v>44699.0</v>
      </c>
      <c r="M527" s="5">
        <v>44755.0</v>
      </c>
      <c r="N527" s="1" t="s">
        <v>1773</v>
      </c>
    </row>
    <row r="528" hidden="1">
      <c r="A528" s="1" t="s">
        <v>202</v>
      </c>
      <c r="B528" s="1" t="s">
        <v>25</v>
      </c>
      <c r="C528" s="1" t="s">
        <v>2154</v>
      </c>
      <c r="D528" s="1" t="str">
        <f>Vlookup(C528,'Oil &amp; Gas Documents - Canada'!F:M,2,FALSE)</f>
        <v>#N/A</v>
      </c>
      <c r="E528" s="1" t="str">
        <f>Vlookup(C528,'Oil &amp; Gas Documents - Canada'!F:N,9,FALSE)</f>
        <v>#N/A</v>
      </c>
      <c r="F528" s="1" t="s">
        <v>2155</v>
      </c>
      <c r="G528" s="4" t="str">
        <f>HYPERLINK("http://nimonikapp.com/legislations/110762","http://nimonikapp.com/legislations/110762")</f>
        <v>http://nimonikapp.com/legislations/110762</v>
      </c>
      <c r="H528" s="1" t="s">
        <v>18</v>
      </c>
      <c r="I528" s="1" t="s">
        <v>2156</v>
      </c>
      <c r="J528" s="1" t="s">
        <v>2157</v>
      </c>
      <c r="K528" s="5">
        <v>44755.0</v>
      </c>
      <c r="M528" s="5">
        <v>44755.0</v>
      </c>
      <c r="N528" s="1" t="s">
        <v>2158</v>
      </c>
    </row>
    <row r="529" hidden="1">
      <c r="A529" s="1" t="s">
        <v>66</v>
      </c>
      <c r="B529" s="1" t="s">
        <v>15</v>
      </c>
      <c r="C529" s="1" t="s">
        <v>2159</v>
      </c>
      <c r="D529" s="1" t="str">
        <f>Vlookup(C529,'Oil &amp; Gas Documents - Canada'!F:M,2,FALSE)</f>
        <v>#N/A</v>
      </c>
      <c r="E529" s="1" t="str">
        <f>Vlookup(C529,'Oil &amp; Gas Documents - Canada'!F:N,9,FALSE)</f>
        <v>#N/A</v>
      </c>
      <c r="F529" s="1" t="s">
        <v>2160</v>
      </c>
      <c r="G529" s="4" t="str">
        <f>HYPERLINK("http://nimonikapp.com/legislations/359533","http://nimonikapp.com/legislations/359533")</f>
        <v>http://nimonikapp.com/legislations/359533</v>
      </c>
      <c r="H529" s="1" t="s">
        <v>18</v>
      </c>
      <c r="K529" s="5">
        <v>44742.0</v>
      </c>
      <c r="L529" s="5">
        <v>44774.0</v>
      </c>
      <c r="M529" s="5">
        <v>44754.0</v>
      </c>
    </row>
    <row r="530" hidden="1">
      <c r="A530" s="1" t="s">
        <v>66</v>
      </c>
      <c r="B530" s="1" t="s">
        <v>15</v>
      </c>
      <c r="C530" s="1" t="s">
        <v>2161</v>
      </c>
      <c r="D530" s="1" t="str">
        <f>Vlookup(C530,'Oil &amp; Gas Documents - Canada'!F:M,2,FALSE)</f>
        <v>#N/A</v>
      </c>
      <c r="E530" s="1" t="str">
        <f>Vlookup(C530,'Oil &amp; Gas Documents - Canada'!F:N,9,FALSE)</f>
        <v>#N/A</v>
      </c>
      <c r="F530" s="1" t="s">
        <v>2162</v>
      </c>
      <c r="G530" s="4" t="str">
        <f>HYPERLINK("http://nimonikapp.com/legislations/359531","http://nimonikapp.com/legislations/359531")</f>
        <v>http://nimonikapp.com/legislations/359531</v>
      </c>
      <c r="H530" s="1" t="s">
        <v>18</v>
      </c>
      <c r="K530" s="5">
        <v>44742.0</v>
      </c>
      <c r="L530" s="5">
        <v>44805.0</v>
      </c>
      <c r="M530" s="5">
        <v>44754.0</v>
      </c>
    </row>
    <row r="531" hidden="1">
      <c r="A531" s="1" t="s">
        <v>66</v>
      </c>
      <c r="B531" s="1" t="s">
        <v>15</v>
      </c>
      <c r="C531" s="1" t="s">
        <v>2163</v>
      </c>
      <c r="D531" s="1" t="str">
        <f>Vlookup(C531,'Oil &amp; Gas Documents - Canada'!F:M,2,FALSE)</f>
        <v>#N/A</v>
      </c>
      <c r="E531" s="1" t="str">
        <f>Vlookup(C531,'Oil &amp; Gas Documents - Canada'!F:N,9,FALSE)</f>
        <v>#N/A</v>
      </c>
      <c r="F531" s="1" t="s">
        <v>2164</v>
      </c>
      <c r="G531" s="4" t="str">
        <f>HYPERLINK("http://nimonikapp.com/legislations/359502","http://nimonikapp.com/legislations/359502")</f>
        <v>http://nimonikapp.com/legislations/359502</v>
      </c>
      <c r="H531" s="1" t="s">
        <v>69</v>
      </c>
      <c r="K531" s="5">
        <v>44736.0</v>
      </c>
      <c r="M531" s="5">
        <v>44754.0</v>
      </c>
    </row>
    <row r="532" hidden="1">
      <c r="A532" s="1" t="s">
        <v>73</v>
      </c>
      <c r="B532" s="1" t="s">
        <v>15</v>
      </c>
      <c r="C532" s="1" t="s">
        <v>2165</v>
      </c>
      <c r="D532" s="1" t="str">
        <f>Vlookup(C532,'Oil &amp; Gas Documents - Canada'!F:M,2,FALSE)</f>
        <v>#N/A</v>
      </c>
      <c r="E532" s="1" t="str">
        <f>Vlookup(C532,'Oil &amp; Gas Documents - Canada'!F:N,9,FALSE)</f>
        <v>#N/A</v>
      </c>
      <c r="F532" s="1" t="s">
        <v>2166</v>
      </c>
      <c r="G532" s="4" t="str">
        <f>HYPERLINK("http://nimonikapp.com/legislations/359537","http://nimonikapp.com/legislations/359537")</f>
        <v>http://nimonikapp.com/legislations/359537</v>
      </c>
      <c r="H532" s="1" t="s">
        <v>18</v>
      </c>
      <c r="K532" s="5">
        <v>44751.0</v>
      </c>
      <c r="L532" s="5">
        <v>44733.0</v>
      </c>
      <c r="M532" s="5">
        <v>44754.0</v>
      </c>
    </row>
    <row r="533" hidden="1">
      <c r="A533" s="1" t="s">
        <v>73</v>
      </c>
      <c r="B533" s="1" t="s">
        <v>15</v>
      </c>
      <c r="C533" s="1" t="s">
        <v>2167</v>
      </c>
      <c r="D533" s="1" t="str">
        <f>Vlookup(C533,'Oil &amp; Gas Documents - Canada'!F:M,2,FALSE)</f>
        <v>#N/A</v>
      </c>
      <c r="E533" s="1" t="str">
        <f>Vlookup(C533,'Oil &amp; Gas Documents - Canada'!F:N,9,FALSE)</f>
        <v>#N/A</v>
      </c>
      <c r="F533" s="1" t="s">
        <v>2168</v>
      </c>
      <c r="G533" s="4" t="str">
        <f>HYPERLINK("http://nimonikapp.com/legislations/359509","http://nimonikapp.com/legislations/359509")</f>
        <v>http://nimonikapp.com/legislations/359509</v>
      </c>
      <c r="H533" s="1" t="s">
        <v>69</v>
      </c>
      <c r="K533" s="5">
        <v>44751.0</v>
      </c>
      <c r="M533" s="5">
        <v>44754.0</v>
      </c>
    </row>
    <row r="534" hidden="1">
      <c r="A534" s="1" t="s">
        <v>73</v>
      </c>
      <c r="B534" s="1" t="s">
        <v>25</v>
      </c>
      <c r="C534" s="1" t="s">
        <v>2169</v>
      </c>
      <c r="D534" s="1" t="str">
        <f>Vlookup(C534,'Oil &amp; Gas Documents - Canada'!F:M,2,FALSE)</f>
        <v>#N/A</v>
      </c>
      <c r="E534" s="1" t="str">
        <f>Vlookup(C534,'Oil &amp; Gas Documents - Canada'!F:N,9,FALSE)</f>
        <v>#N/A</v>
      </c>
      <c r="F534" s="1" t="s">
        <v>2170</v>
      </c>
      <c r="G534" s="4" t="str">
        <f>HYPERLINK("http://nimonikapp.com/legislations/352821","http://nimonikapp.com/legislations/352821")</f>
        <v>http://nimonikapp.com/legislations/352821</v>
      </c>
      <c r="H534" s="1" t="s">
        <v>18</v>
      </c>
      <c r="I534" s="1" t="s">
        <v>2171</v>
      </c>
      <c r="J534" s="1" t="s">
        <v>2172</v>
      </c>
      <c r="K534" s="5">
        <v>44748.0</v>
      </c>
      <c r="L534" s="5">
        <v>44774.0</v>
      </c>
      <c r="M534" s="5">
        <v>44754.0</v>
      </c>
      <c r="N534" s="1" t="s">
        <v>2173</v>
      </c>
    </row>
    <row r="535" hidden="1">
      <c r="A535" s="1" t="s">
        <v>73</v>
      </c>
      <c r="B535" s="1" t="s">
        <v>25</v>
      </c>
      <c r="C535" s="1" t="s">
        <v>1069</v>
      </c>
      <c r="D535" s="1" t="str">
        <f>Vlookup(C535,'Oil &amp; Gas Documents - Canada'!F:M,2,FALSE)</f>
        <v>#N/A</v>
      </c>
      <c r="E535" s="1" t="str">
        <f>Vlookup(C535,'Oil &amp; Gas Documents - Canada'!F:N,9,FALSE)</f>
        <v>#N/A</v>
      </c>
      <c r="F535" s="1" t="s">
        <v>1070</v>
      </c>
      <c r="G535" s="4" t="str">
        <f>HYPERLINK("http://nimonikapp.com/legislations/897","http://nimonikapp.com/legislations/897")</f>
        <v>http://nimonikapp.com/legislations/897</v>
      </c>
      <c r="H535" s="1" t="s">
        <v>18</v>
      </c>
      <c r="I535" s="1" t="s">
        <v>2174</v>
      </c>
      <c r="J535" s="1" t="s">
        <v>2175</v>
      </c>
      <c r="K535" s="5">
        <v>44751.0</v>
      </c>
      <c r="L535" s="5">
        <v>44720.0</v>
      </c>
      <c r="M535" s="5">
        <v>44754.0</v>
      </c>
      <c r="N535" s="1" t="s">
        <v>1073</v>
      </c>
    </row>
    <row r="536" hidden="1">
      <c r="A536" s="1" t="s">
        <v>73</v>
      </c>
      <c r="B536" s="1" t="s">
        <v>364</v>
      </c>
      <c r="C536" s="1" t="s">
        <v>2176</v>
      </c>
      <c r="D536" s="1" t="str">
        <f>Vlookup(C536,'Oil &amp; Gas Documents - Canada'!F:M,2,FALSE)</f>
        <v>#N/A</v>
      </c>
      <c r="E536" s="1" t="str">
        <f>Vlookup(C536,'Oil &amp; Gas Documents - Canada'!F:N,9,FALSE)</f>
        <v>#N/A</v>
      </c>
      <c r="F536" s="1" t="s">
        <v>2177</v>
      </c>
      <c r="G536" s="4" t="str">
        <f>HYPERLINK("http://nimonikapp.com/legislations/355783","http://nimonikapp.com/legislations/355783")</f>
        <v>http://nimonikapp.com/legislations/355783</v>
      </c>
      <c r="H536" s="1" t="s">
        <v>356</v>
      </c>
      <c r="I536" s="1" t="s">
        <v>2080</v>
      </c>
      <c r="J536" s="1" t="s">
        <v>2081</v>
      </c>
      <c r="K536" s="5">
        <v>44751.0</v>
      </c>
      <c r="L536" s="5">
        <v>44739.0</v>
      </c>
      <c r="M536" s="5">
        <v>44754.0</v>
      </c>
      <c r="N536" s="1" t="s">
        <v>2178</v>
      </c>
    </row>
    <row r="537" hidden="1">
      <c r="A537" s="1" t="s">
        <v>73</v>
      </c>
      <c r="B537" s="1" t="s">
        <v>25</v>
      </c>
      <c r="C537" s="1" t="s">
        <v>2179</v>
      </c>
      <c r="D537" s="1" t="str">
        <f>Vlookup(C537,'Oil &amp; Gas Documents - Canada'!F:M,2,FALSE)</f>
        <v>#N/A</v>
      </c>
      <c r="E537" s="1" t="str">
        <f>Vlookup(C537,'Oil &amp; Gas Documents - Canada'!F:N,9,FALSE)</f>
        <v>#N/A</v>
      </c>
      <c r="F537" s="1" t="s">
        <v>2180</v>
      </c>
      <c r="G537" s="4" t="str">
        <f>HYPERLINK("http://nimonikapp.com/legislations/321653","http://nimonikapp.com/legislations/321653")</f>
        <v>http://nimonikapp.com/legislations/321653</v>
      </c>
      <c r="H537" s="1" t="s">
        <v>18</v>
      </c>
      <c r="I537" s="1" t="s">
        <v>2181</v>
      </c>
      <c r="J537" s="1" t="s">
        <v>2182</v>
      </c>
      <c r="K537" s="5">
        <v>44748.0</v>
      </c>
      <c r="L537" s="5">
        <v>44746.0</v>
      </c>
      <c r="M537" s="5">
        <v>44753.0</v>
      </c>
      <c r="N537" s="1" t="s">
        <v>2183</v>
      </c>
    </row>
    <row r="538" hidden="1">
      <c r="A538" s="1" t="s">
        <v>73</v>
      </c>
      <c r="B538" s="1" t="s">
        <v>25</v>
      </c>
      <c r="C538" s="1" t="s">
        <v>2184</v>
      </c>
      <c r="D538" s="1" t="str">
        <f>Vlookup(C538,'Oil &amp; Gas Documents - Canada'!F:M,2,FALSE)</f>
        <v>#N/A</v>
      </c>
      <c r="E538" s="1" t="str">
        <f>Vlookup(C538,'Oil &amp; Gas Documents - Canada'!F:N,9,FALSE)</f>
        <v>#N/A</v>
      </c>
      <c r="F538" s="1" t="s">
        <v>2185</v>
      </c>
      <c r="G538" s="4" t="str">
        <f>HYPERLINK("http://nimonikapp.com/legislations/321628","http://nimonikapp.com/legislations/321628")</f>
        <v>http://nimonikapp.com/legislations/321628</v>
      </c>
      <c r="H538" s="1" t="s">
        <v>18</v>
      </c>
      <c r="I538" s="1" t="s">
        <v>2186</v>
      </c>
      <c r="J538" s="1" t="s">
        <v>2187</v>
      </c>
      <c r="K538" s="5">
        <v>44748.0</v>
      </c>
      <c r="L538" s="5">
        <v>44733.0</v>
      </c>
      <c r="M538" s="5">
        <v>44753.0</v>
      </c>
      <c r="N538" s="1" t="s">
        <v>2188</v>
      </c>
    </row>
    <row r="539" hidden="1">
      <c r="A539" s="1" t="s">
        <v>73</v>
      </c>
      <c r="B539" s="1" t="s">
        <v>25</v>
      </c>
      <c r="C539" s="1" t="s">
        <v>2189</v>
      </c>
      <c r="D539" s="1" t="str">
        <f>Vlookup(C539,'Oil &amp; Gas Documents - Canada'!F:M,2,FALSE)</f>
        <v>#N/A</v>
      </c>
      <c r="E539" s="1" t="str">
        <f>Vlookup(C539,'Oil &amp; Gas Documents - Canada'!F:N,9,FALSE)</f>
        <v>#N/A</v>
      </c>
      <c r="F539" s="1" t="s">
        <v>2190</v>
      </c>
      <c r="G539" s="4" t="str">
        <f>HYPERLINK("http://nimonikapp.com/legislations/321655","http://nimonikapp.com/legislations/321655")</f>
        <v>http://nimonikapp.com/legislations/321655</v>
      </c>
      <c r="H539" s="1" t="s">
        <v>18</v>
      </c>
      <c r="I539" s="1" t="s">
        <v>2191</v>
      </c>
      <c r="J539" s="1" t="s">
        <v>2192</v>
      </c>
      <c r="K539" s="5">
        <v>44748.0</v>
      </c>
      <c r="L539" s="5">
        <v>44733.0</v>
      </c>
      <c r="M539" s="5">
        <v>44753.0</v>
      </c>
    </row>
    <row r="540" hidden="1">
      <c r="A540" s="1" t="s">
        <v>73</v>
      </c>
      <c r="B540" s="1" t="s">
        <v>25</v>
      </c>
      <c r="C540" s="1" t="s">
        <v>1700</v>
      </c>
      <c r="D540" s="1" t="str">
        <f>Vlookup(C540,'Oil &amp; Gas Documents - Canada'!F:M,2,FALSE)</f>
        <v>#N/A</v>
      </c>
      <c r="E540" s="1" t="str">
        <f>Vlookup(C540,'Oil &amp; Gas Documents - Canada'!F:N,9,FALSE)</f>
        <v>#N/A</v>
      </c>
      <c r="F540" s="1" t="s">
        <v>1701</v>
      </c>
      <c r="G540" s="4" t="str">
        <f>HYPERLINK("http://nimonikapp.com/legislations/316971","http://nimonikapp.com/legislations/316971")</f>
        <v>http://nimonikapp.com/legislations/316971</v>
      </c>
      <c r="H540" s="1" t="s">
        <v>18</v>
      </c>
      <c r="I540" s="1" t="s">
        <v>2193</v>
      </c>
      <c r="J540" s="1" t="s">
        <v>2194</v>
      </c>
      <c r="K540" s="5">
        <v>44748.0</v>
      </c>
      <c r="L540" s="5">
        <v>44733.0</v>
      </c>
      <c r="M540" s="5">
        <v>44753.0</v>
      </c>
      <c r="N540" s="1" t="s">
        <v>1702</v>
      </c>
    </row>
    <row r="541" hidden="1">
      <c r="A541" s="1" t="s">
        <v>73</v>
      </c>
      <c r="B541" s="1" t="s">
        <v>25</v>
      </c>
      <c r="C541" s="1" t="s">
        <v>1435</v>
      </c>
      <c r="D541" s="1" t="str">
        <f>Vlookup(C541,'Oil &amp; Gas Documents - Canada'!F:M,2,FALSE)</f>
        <v>#N/A</v>
      </c>
      <c r="E541" s="1" t="str">
        <f>Vlookup(C541,'Oil &amp; Gas Documents - Canada'!F:N,9,FALSE)</f>
        <v>#N/A</v>
      </c>
      <c r="F541" s="1" t="s">
        <v>1436</v>
      </c>
      <c r="G541" s="4" t="str">
        <f>HYPERLINK("http://nimonikapp.com/legislations/321802","http://nimonikapp.com/legislations/321802")</f>
        <v>http://nimonikapp.com/legislations/321802</v>
      </c>
      <c r="H541" s="1" t="s">
        <v>18</v>
      </c>
      <c r="I541" s="1" t="s">
        <v>2195</v>
      </c>
      <c r="J541" s="1" t="s">
        <v>2196</v>
      </c>
      <c r="K541" s="5">
        <v>44748.0</v>
      </c>
      <c r="L541" s="5">
        <v>44733.0</v>
      </c>
      <c r="M541" s="5">
        <v>44753.0</v>
      </c>
      <c r="N541" s="1" t="s">
        <v>1439</v>
      </c>
    </row>
    <row r="542" hidden="1">
      <c r="A542" s="1" t="s">
        <v>73</v>
      </c>
      <c r="B542" s="1" t="s">
        <v>25</v>
      </c>
      <c r="C542" s="1" t="s">
        <v>1703</v>
      </c>
      <c r="D542" s="1" t="str">
        <f>Vlookup(C542,'Oil &amp; Gas Documents - Canada'!F:M,2,FALSE)</f>
        <v>#N/A</v>
      </c>
      <c r="E542" s="1" t="str">
        <f>Vlookup(C542,'Oil &amp; Gas Documents - Canada'!F:N,9,FALSE)</f>
        <v>#N/A</v>
      </c>
      <c r="F542" s="1" t="s">
        <v>1704</v>
      </c>
      <c r="G542" s="4" t="str">
        <f>HYPERLINK("http://nimonikapp.com/legislations/116860","http://nimonikapp.com/legislations/116860")</f>
        <v>http://nimonikapp.com/legislations/116860</v>
      </c>
      <c r="H542" s="1" t="s">
        <v>18</v>
      </c>
      <c r="I542" s="1" t="s">
        <v>2197</v>
      </c>
      <c r="J542" s="1" t="s">
        <v>2198</v>
      </c>
      <c r="K542" s="5">
        <v>44748.0</v>
      </c>
      <c r="L542" s="5">
        <v>44733.0</v>
      </c>
      <c r="M542" s="5">
        <v>44753.0</v>
      </c>
      <c r="N542" s="1" t="s">
        <v>1705</v>
      </c>
    </row>
    <row r="543" hidden="1">
      <c r="A543" s="1" t="s">
        <v>73</v>
      </c>
      <c r="B543" s="1" t="s">
        <v>25</v>
      </c>
      <c r="C543" s="1" t="s">
        <v>1435</v>
      </c>
      <c r="D543" s="1" t="str">
        <f>Vlookup(C543,'Oil &amp; Gas Documents - Canada'!F:M,2,FALSE)</f>
        <v>#N/A</v>
      </c>
      <c r="E543" s="1" t="str">
        <f>Vlookup(C543,'Oil &amp; Gas Documents - Canada'!F:N,9,FALSE)</f>
        <v>#N/A</v>
      </c>
      <c r="F543" s="1" t="s">
        <v>1436</v>
      </c>
      <c r="G543" s="4" t="str">
        <f>HYPERLINK("http://nimonikapp.com/legislations/321802","http://nimonikapp.com/legislations/321802")</f>
        <v>http://nimonikapp.com/legislations/321802</v>
      </c>
      <c r="H543" s="1" t="s">
        <v>18</v>
      </c>
      <c r="I543" s="1" t="s">
        <v>2199</v>
      </c>
      <c r="J543" s="1" t="s">
        <v>2200</v>
      </c>
      <c r="K543" s="5">
        <v>44748.0</v>
      </c>
      <c r="L543" s="5">
        <v>44830.0</v>
      </c>
      <c r="M543" s="5">
        <v>44753.0</v>
      </c>
      <c r="N543" s="1" t="s">
        <v>1439</v>
      </c>
    </row>
    <row r="544" hidden="1">
      <c r="A544" s="1" t="s">
        <v>73</v>
      </c>
      <c r="B544" s="1" t="s">
        <v>25</v>
      </c>
      <c r="C544" s="1" t="s">
        <v>2201</v>
      </c>
      <c r="D544" s="1" t="str">
        <f>Vlookup(C544,'Oil &amp; Gas Documents - Canada'!F:M,2,FALSE)</f>
        <v>#N/A</v>
      </c>
      <c r="E544" s="1" t="str">
        <f>Vlookup(C544,'Oil &amp; Gas Documents - Canada'!F:N,9,FALSE)</f>
        <v>#N/A</v>
      </c>
      <c r="F544" s="1" t="s">
        <v>2202</v>
      </c>
      <c r="G544" s="4" t="str">
        <f>HYPERLINK("http://nimonikapp.com/legislations/960","http://nimonikapp.com/legislations/960")</f>
        <v>http://nimonikapp.com/legislations/960</v>
      </c>
      <c r="H544" s="1" t="s">
        <v>18</v>
      </c>
      <c r="I544" s="1" t="s">
        <v>2203</v>
      </c>
      <c r="J544" s="1" t="s">
        <v>2204</v>
      </c>
      <c r="K544" s="5">
        <v>44748.0</v>
      </c>
      <c r="L544" s="5">
        <v>44736.0</v>
      </c>
      <c r="M544" s="5">
        <v>44753.0</v>
      </c>
      <c r="N544" s="1" t="s">
        <v>2205</v>
      </c>
    </row>
    <row r="545" hidden="1">
      <c r="A545" s="1" t="s">
        <v>73</v>
      </c>
      <c r="B545" s="1" t="s">
        <v>25</v>
      </c>
      <c r="C545" s="1" t="s">
        <v>2206</v>
      </c>
      <c r="D545" s="1" t="str">
        <f>Vlookup(C545,'Oil &amp; Gas Documents - Canada'!F:M,2,FALSE)</f>
        <v>#N/A</v>
      </c>
      <c r="E545" s="1" t="str">
        <f>Vlookup(C545,'Oil &amp; Gas Documents - Canada'!F:N,9,FALSE)</f>
        <v>#N/A</v>
      </c>
      <c r="F545" s="1" t="s">
        <v>2207</v>
      </c>
      <c r="G545" s="4" t="str">
        <f>HYPERLINK("http://nimonikapp.com/legislations/140502","http://nimonikapp.com/legislations/140502")</f>
        <v>http://nimonikapp.com/legislations/140502</v>
      </c>
      <c r="H545" s="1" t="s">
        <v>18</v>
      </c>
      <c r="I545" s="1" t="s">
        <v>2208</v>
      </c>
      <c r="J545" s="1" t="s">
        <v>2209</v>
      </c>
      <c r="K545" s="5">
        <v>44748.0</v>
      </c>
      <c r="L545" s="5">
        <v>44736.0</v>
      </c>
      <c r="M545" s="5">
        <v>44753.0</v>
      </c>
      <c r="N545" s="1" t="s">
        <v>2210</v>
      </c>
    </row>
    <row r="546" hidden="1">
      <c r="A546" s="1" t="s">
        <v>73</v>
      </c>
      <c r="B546" s="1" t="s">
        <v>25</v>
      </c>
      <c r="C546" s="1" t="s">
        <v>2211</v>
      </c>
      <c r="D546" s="1" t="str">
        <f>Vlookup(C546,'Oil &amp; Gas Documents - Canada'!F:M,2,FALSE)</f>
        <v>#N/A</v>
      </c>
      <c r="E546" s="1" t="str">
        <f>Vlookup(C546,'Oil &amp; Gas Documents - Canada'!F:N,9,FALSE)</f>
        <v>#N/A</v>
      </c>
      <c r="F546" s="1" t="s">
        <v>2212</v>
      </c>
      <c r="G546" s="4" t="str">
        <f>HYPERLINK("http://nimonikapp.com/legislations/10307","http://nimonikapp.com/legislations/10307")</f>
        <v>http://nimonikapp.com/legislations/10307</v>
      </c>
      <c r="H546" s="1" t="s">
        <v>18</v>
      </c>
      <c r="I546" s="1" t="s">
        <v>2213</v>
      </c>
      <c r="J546" s="1" t="s">
        <v>2214</v>
      </c>
      <c r="K546" s="5">
        <v>44748.0</v>
      </c>
      <c r="L546" s="5">
        <v>44732.0</v>
      </c>
      <c r="M546" s="5">
        <v>44753.0</v>
      </c>
    </row>
    <row r="547" hidden="1">
      <c r="A547" s="1" t="s">
        <v>73</v>
      </c>
      <c r="B547" s="1" t="s">
        <v>25</v>
      </c>
      <c r="C547" s="1" t="s">
        <v>2215</v>
      </c>
      <c r="D547" s="1" t="str">
        <f>Vlookup(C547,'Oil &amp; Gas Documents - Canada'!F:M,2,FALSE)</f>
        <v>#N/A</v>
      </c>
      <c r="E547" s="1" t="str">
        <f>Vlookup(C547,'Oil &amp; Gas Documents - Canada'!F:N,9,FALSE)</f>
        <v>#N/A</v>
      </c>
      <c r="F547" s="1" t="s">
        <v>2216</v>
      </c>
      <c r="G547" s="4" t="str">
        <f>HYPERLINK("http://nimonikapp.com/legislations/317078","http://nimonikapp.com/legislations/317078")</f>
        <v>http://nimonikapp.com/legislations/317078</v>
      </c>
      <c r="H547" s="1" t="s">
        <v>18</v>
      </c>
      <c r="I547" s="1" t="s">
        <v>2217</v>
      </c>
      <c r="J547" s="1" t="s">
        <v>2218</v>
      </c>
      <c r="K547" s="5">
        <v>44748.0</v>
      </c>
      <c r="L547" s="5">
        <v>44733.0</v>
      </c>
      <c r="M547" s="5">
        <v>44753.0</v>
      </c>
      <c r="N547" s="1" t="s">
        <v>2219</v>
      </c>
    </row>
    <row r="548" hidden="1">
      <c r="A548" s="1" t="s">
        <v>73</v>
      </c>
      <c r="B548" s="1" t="s">
        <v>25</v>
      </c>
      <c r="C548" s="1" t="s">
        <v>2220</v>
      </c>
      <c r="D548" s="1" t="str">
        <f>Vlookup(C548,'Oil &amp; Gas Documents - Canada'!F:M,2,FALSE)</f>
        <v>#N/A</v>
      </c>
      <c r="E548" s="1" t="str">
        <f>Vlookup(C548,'Oil &amp; Gas Documents - Canada'!F:N,9,FALSE)</f>
        <v>#N/A</v>
      </c>
      <c r="F548" s="1" t="s">
        <v>2221</v>
      </c>
      <c r="G548" s="4" t="str">
        <f>HYPERLINK("http://nimonikapp.com/legislations/317125","http://nimonikapp.com/legislations/317125")</f>
        <v>http://nimonikapp.com/legislations/317125</v>
      </c>
      <c r="H548" s="1" t="s">
        <v>18</v>
      </c>
      <c r="I548" s="1" t="s">
        <v>2222</v>
      </c>
      <c r="J548" s="1" t="s">
        <v>2223</v>
      </c>
      <c r="K548" s="5">
        <v>44748.0</v>
      </c>
      <c r="L548" s="5">
        <v>44733.0</v>
      </c>
      <c r="M548" s="5">
        <v>44753.0</v>
      </c>
      <c r="N548" s="1" t="s">
        <v>2224</v>
      </c>
    </row>
    <row r="549" hidden="1">
      <c r="A549" s="1" t="s">
        <v>73</v>
      </c>
      <c r="B549" s="1" t="s">
        <v>25</v>
      </c>
      <c r="C549" s="1" t="s">
        <v>2225</v>
      </c>
      <c r="D549" s="1" t="str">
        <f>Vlookup(C549,'Oil &amp; Gas Documents - Canada'!F:M,2,FALSE)</f>
        <v>#N/A</v>
      </c>
      <c r="E549" s="1" t="str">
        <f>Vlookup(C549,'Oil &amp; Gas Documents - Canada'!F:N,9,FALSE)</f>
        <v>#N/A</v>
      </c>
      <c r="F549" s="1" t="s">
        <v>2226</v>
      </c>
      <c r="G549" s="4" t="str">
        <f>HYPERLINK("http://nimonikapp.com/legislations/321954","http://nimonikapp.com/legislations/321954")</f>
        <v>http://nimonikapp.com/legislations/321954</v>
      </c>
      <c r="H549" s="1" t="s">
        <v>18</v>
      </c>
      <c r="I549" s="1" t="s">
        <v>2227</v>
      </c>
      <c r="J549" s="1" t="s">
        <v>2228</v>
      </c>
      <c r="K549" s="5">
        <v>44748.0</v>
      </c>
      <c r="L549" s="5">
        <v>44737.0</v>
      </c>
      <c r="M549" s="5">
        <v>44753.0</v>
      </c>
      <c r="N549" s="1" t="s">
        <v>2229</v>
      </c>
    </row>
    <row r="550" hidden="1">
      <c r="A550" s="1" t="s">
        <v>73</v>
      </c>
      <c r="B550" s="1" t="s">
        <v>25</v>
      </c>
      <c r="C550" s="1" t="s">
        <v>1709</v>
      </c>
      <c r="D550" s="1" t="str">
        <f>Vlookup(C550,'Oil &amp; Gas Documents - Canada'!F:M,2,FALSE)</f>
        <v>#N/A</v>
      </c>
      <c r="E550" s="1" t="str">
        <f>Vlookup(C550,'Oil &amp; Gas Documents - Canada'!F:N,9,FALSE)</f>
        <v>#N/A</v>
      </c>
      <c r="F550" s="1" t="s">
        <v>1710</v>
      </c>
      <c r="G550" s="4" t="str">
        <f>HYPERLINK("http://nimonikapp.com/legislations/321972","http://nimonikapp.com/legislations/321972")</f>
        <v>http://nimonikapp.com/legislations/321972</v>
      </c>
      <c r="H550" s="1" t="s">
        <v>18</v>
      </c>
      <c r="I550" s="1" t="s">
        <v>2230</v>
      </c>
      <c r="J550" s="1" t="s">
        <v>1712</v>
      </c>
      <c r="K550" s="5">
        <v>44748.0</v>
      </c>
      <c r="L550" s="5">
        <v>44737.0</v>
      </c>
      <c r="M550" s="5">
        <v>44753.0</v>
      </c>
      <c r="N550" s="1" t="s">
        <v>1713</v>
      </c>
    </row>
    <row r="551" hidden="1">
      <c r="A551" s="1" t="s">
        <v>73</v>
      </c>
      <c r="B551" s="1" t="s">
        <v>25</v>
      </c>
      <c r="C551" s="1" t="s">
        <v>1045</v>
      </c>
      <c r="D551" s="1" t="str">
        <f>Vlookup(C551,'Oil &amp; Gas Documents - Canada'!F:M,2,FALSE)</f>
        <v>#N/A</v>
      </c>
      <c r="E551" s="1" t="str">
        <f>Vlookup(C551,'Oil &amp; Gas Documents - Canada'!F:N,9,FALSE)</f>
        <v>#N/A</v>
      </c>
      <c r="F551" s="1" t="s">
        <v>1046</v>
      </c>
      <c r="G551" s="4" t="str">
        <f>HYPERLINK("http://nimonikapp.com/legislations/321966","http://nimonikapp.com/legislations/321966")</f>
        <v>http://nimonikapp.com/legislations/321966</v>
      </c>
      <c r="H551" s="1" t="s">
        <v>18</v>
      </c>
      <c r="I551" s="1" t="s">
        <v>2231</v>
      </c>
      <c r="J551" s="1" t="s">
        <v>1048</v>
      </c>
      <c r="K551" s="5">
        <v>44748.0</v>
      </c>
      <c r="L551" s="5">
        <v>44737.0</v>
      </c>
      <c r="M551" s="5">
        <v>44753.0</v>
      </c>
      <c r="N551" s="1" t="s">
        <v>1049</v>
      </c>
    </row>
    <row r="552">
      <c r="A552" s="1" t="s">
        <v>73</v>
      </c>
      <c r="B552" s="1" t="s">
        <v>364</v>
      </c>
      <c r="C552" s="1" t="s">
        <v>366</v>
      </c>
      <c r="D552" s="1" t="str">
        <f>Vlookup(C552,'Oil &amp; Gas Documents - Canada'!F:M,2,FALSE)</f>
        <v>oil_and_gas, chemicals_industry, financial_and_insurance</v>
      </c>
      <c r="E552" s="1" t="str">
        <f>Vlookup(C552,'Oil &amp; Gas Documents - Canada'!F:N,9,FALSE)</f>
        <v/>
      </c>
      <c r="F552" s="1" t="s">
        <v>365</v>
      </c>
      <c r="G552" s="4" t="str">
        <f>HYPERLINK("http://nimonikapp.com/legislations/907","http://nimonikapp.com/legislations/907")</f>
        <v>http://nimonikapp.com/legislations/907</v>
      </c>
      <c r="H552" s="1" t="s">
        <v>356</v>
      </c>
      <c r="I552" s="1" t="s">
        <v>368</v>
      </c>
      <c r="J552" s="1" t="s">
        <v>369</v>
      </c>
      <c r="K552" s="5">
        <v>44748.0</v>
      </c>
      <c r="L552" s="5">
        <v>44733.0</v>
      </c>
      <c r="M552" s="5">
        <v>44753.0</v>
      </c>
      <c r="N552" s="1" t="s">
        <v>367</v>
      </c>
    </row>
    <row r="553" hidden="1">
      <c r="A553" s="1" t="s">
        <v>73</v>
      </c>
      <c r="B553" s="1" t="s">
        <v>25</v>
      </c>
      <c r="C553" s="1" t="s">
        <v>2232</v>
      </c>
      <c r="D553" s="1" t="str">
        <f>Vlookup(C553,'Oil &amp; Gas Documents - Canada'!F:M,2,FALSE)</f>
        <v>#N/A</v>
      </c>
      <c r="E553" s="1" t="str">
        <f>Vlookup(C553,'Oil &amp; Gas Documents - Canada'!F:N,9,FALSE)</f>
        <v>#N/A</v>
      </c>
      <c r="F553" s="1" t="s">
        <v>2233</v>
      </c>
      <c r="G553" s="4" t="str">
        <f>HYPERLINK("http://nimonikapp.com/legislations/13492","http://nimonikapp.com/legislations/13492")</f>
        <v>http://nimonikapp.com/legislations/13492</v>
      </c>
      <c r="H553" s="1" t="s">
        <v>18</v>
      </c>
      <c r="I553" s="1" t="s">
        <v>368</v>
      </c>
      <c r="J553" s="1" t="s">
        <v>369</v>
      </c>
      <c r="K553" s="5">
        <v>44748.0</v>
      </c>
      <c r="L553" s="5">
        <v>44733.0</v>
      </c>
      <c r="M553" s="5">
        <v>44753.0</v>
      </c>
      <c r="N553" s="1" t="s">
        <v>2234</v>
      </c>
    </row>
    <row r="554" hidden="1">
      <c r="A554" s="1" t="s">
        <v>53</v>
      </c>
      <c r="B554" s="1" t="s">
        <v>15</v>
      </c>
      <c r="C554" s="1" t="s">
        <v>2235</v>
      </c>
      <c r="D554" s="1" t="str">
        <f>Vlookup(C554,'Oil &amp; Gas Documents - Canada'!F:M,2,FALSE)</f>
        <v>#N/A</v>
      </c>
      <c r="E554" s="1" t="str">
        <f>Vlookup(C554,'Oil &amp; Gas Documents - Canada'!F:N,9,FALSE)</f>
        <v>#N/A</v>
      </c>
      <c r="F554" s="1" t="s">
        <v>2236</v>
      </c>
      <c r="G554" s="4" t="str">
        <f>HYPERLINK("http://nimonikapp.com/legislations/359224","http://nimonikapp.com/legislations/359224")</f>
        <v>http://nimonikapp.com/legislations/359224</v>
      </c>
      <c r="H554" s="1" t="s">
        <v>18</v>
      </c>
      <c r="K554" s="5">
        <v>44743.0</v>
      </c>
      <c r="L554" s="5">
        <v>44726.0</v>
      </c>
      <c r="M554" s="5">
        <v>44750.0</v>
      </c>
    </row>
    <row r="555" hidden="1">
      <c r="A555" s="1" t="s">
        <v>1105</v>
      </c>
      <c r="B555" s="1" t="s">
        <v>15</v>
      </c>
      <c r="C555" s="1" t="s">
        <v>2237</v>
      </c>
      <c r="D555" s="1" t="str">
        <f>Vlookup(C555,'Oil &amp; Gas Documents - Canada'!F:M,2,FALSE)</f>
        <v>#N/A</v>
      </c>
      <c r="E555" s="1" t="str">
        <f>Vlookup(C555,'Oil &amp; Gas Documents - Canada'!F:N,9,FALSE)</f>
        <v>#N/A</v>
      </c>
      <c r="F555" s="1" t="s">
        <v>2238</v>
      </c>
      <c r="G555" s="4" t="str">
        <f>HYPERLINK("http://nimonikapp.com/legislations/359200","http://nimonikapp.com/legislations/359200")</f>
        <v>http://nimonikapp.com/legislations/359200</v>
      </c>
      <c r="H555" s="1" t="s">
        <v>69</v>
      </c>
      <c r="K555" s="5">
        <v>44742.0</v>
      </c>
      <c r="M555" s="5">
        <v>44750.0</v>
      </c>
    </row>
    <row r="556" hidden="1">
      <c r="A556" s="1" t="s">
        <v>221</v>
      </c>
      <c r="B556" s="1" t="s">
        <v>15</v>
      </c>
      <c r="C556" s="1" t="s">
        <v>2239</v>
      </c>
      <c r="D556" s="1" t="str">
        <f>Vlookup(C556,'Oil &amp; Gas Documents - Canada'!F:M,2,FALSE)</f>
        <v>#N/A</v>
      </c>
      <c r="E556" s="1" t="str">
        <f>Vlookup(C556,'Oil &amp; Gas Documents - Canada'!F:N,9,FALSE)</f>
        <v>#N/A</v>
      </c>
      <c r="F556" s="1" t="s">
        <v>2240</v>
      </c>
      <c r="G556" s="4" t="str">
        <f>HYPERLINK("http://nimonikapp.com/legislations/359202","http://nimonikapp.com/legislations/359202")</f>
        <v>http://nimonikapp.com/legislations/359202</v>
      </c>
      <c r="H556" s="1" t="s">
        <v>69</v>
      </c>
      <c r="K556" s="5">
        <v>44741.0</v>
      </c>
      <c r="M556" s="5">
        <v>44750.0</v>
      </c>
    </row>
    <row r="557" hidden="1">
      <c r="A557" s="1" t="s">
        <v>14</v>
      </c>
      <c r="B557" s="1" t="s">
        <v>25</v>
      </c>
      <c r="C557" s="1" t="s">
        <v>2241</v>
      </c>
      <c r="D557" s="1" t="str">
        <f>Vlookup(C557,'Oil &amp; Gas Documents - Canada'!F:M,2,FALSE)</f>
        <v>#N/A</v>
      </c>
      <c r="E557" s="1" t="str">
        <f>Vlookup(C557,'Oil &amp; Gas Documents - Canada'!F:N,9,FALSE)</f>
        <v>#N/A</v>
      </c>
      <c r="F557" s="1" t="s">
        <v>2242</v>
      </c>
      <c r="G557" s="4" t="str">
        <f>HYPERLINK("http://nimonikapp.com/legislations/3665","http://nimonikapp.com/legislations/3665")</f>
        <v>http://nimonikapp.com/legislations/3665</v>
      </c>
      <c r="H557" s="1" t="s">
        <v>18</v>
      </c>
      <c r="I557" s="1" t="s">
        <v>2243</v>
      </c>
      <c r="J557" s="1" t="s">
        <v>2244</v>
      </c>
      <c r="K557" s="5">
        <v>44742.0</v>
      </c>
      <c r="L557" s="5">
        <v>44732.0</v>
      </c>
      <c r="M557" s="5">
        <v>44750.0</v>
      </c>
      <c r="N557" s="1" t="s">
        <v>2245</v>
      </c>
    </row>
    <row r="558" hidden="1">
      <c r="A558" s="1" t="s">
        <v>53</v>
      </c>
      <c r="B558" s="1" t="s">
        <v>364</v>
      </c>
      <c r="C558" s="1" t="s">
        <v>2246</v>
      </c>
      <c r="D558" s="1" t="str">
        <f>Vlookup(C558,'Oil &amp; Gas Documents - Canada'!F:M,2,FALSE)</f>
        <v>#N/A</v>
      </c>
      <c r="E558" s="1" t="str">
        <f>Vlookup(C558,'Oil &amp; Gas Documents - Canada'!F:N,9,FALSE)</f>
        <v>#N/A</v>
      </c>
      <c r="F558" s="1" t="s">
        <v>2247</v>
      </c>
      <c r="G558" s="4" t="str">
        <f>HYPERLINK("http://nimonikapp.com/legislations/3611","http://nimonikapp.com/legislations/3611")</f>
        <v>http://nimonikapp.com/legislations/3611</v>
      </c>
      <c r="H558" s="1" t="s">
        <v>356</v>
      </c>
      <c r="I558" s="1" t="s">
        <v>2248</v>
      </c>
      <c r="J558" s="1" t="s">
        <v>2247</v>
      </c>
      <c r="K558" s="5">
        <v>44743.0</v>
      </c>
      <c r="L558" s="5">
        <v>44835.0</v>
      </c>
      <c r="M558" s="5">
        <v>44750.0</v>
      </c>
      <c r="N558" s="1" t="s">
        <v>2249</v>
      </c>
    </row>
    <row r="559" hidden="1">
      <c r="A559" s="1" t="s">
        <v>73</v>
      </c>
      <c r="B559" s="1" t="s">
        <v>15</v>
      </c>
      <c r="C559" s="1" t="s">
        <v>2250</v>
      </c>
      <c r="D559" s="1" t="str">
        <f>Vlookup(C559,'Oil &amp; Gas Documents - Canada'!F:M,2,FALSE)</f>
        <v>#N/A</v>
      </c>
      <c r="E559" s="1" t="str">
        <f>Vlookup(C559,'Oil &amp; Gas Documents - Canada'!F:N,9,FALSE)</f>
        <v>#N/A</v>
      </c>
      <c r="F559" s="1" t="s">
        <v>2251</v>
      </c>
      <c r="G559" s="4" t="str">
        <f>HYPERLINK("http://nimonikapp.com/legislations/357980","http://nimonikapp.com/legislations/357980")</f>
        <v>http://nimonikapp.com/legislations/357980</v>
      </c>
      <c r="H559" s="1" t="s">
        <v>18</v>
      </c>
      <c r="K559" s="5">
        <v>44744.0</v>
      </c>
      <c r="L559" s="5">
        <v>44834.0</v>
      </c>
      <c r="M559" s="5">
        <v>44748.0</v>
      </c>
    </row>
    <row r="560" hidden="1">
      <c r="A560" s="1" t="s">
        <v>73</v>
      </c>
      <c r="B560" s="1" t="s">
        <v>15</v>
      </c>
      <c r="C560" s="1" t="s">
        <v>2252</v>
      </c>
      <c r="D560" s="1" t="str">
        <f>Vlookup(C560,'Oil &amp; Gas Documents - Canada'!F:M,2,FALSE)</f>
        <v>#N/A</v>
      </c>
      <c r="E560" s="1" t="str">
        <f>Vlookup(C560,'Oil &amp; Gas Documents - Canada'!F:N,9,FALSE)</f>
        <v>#N/A</v>
      </c>
      <c r="F560" s="1" t="s">
        <v>2253</v>
      </c>
      <c r="G560" s="4" t="str">
        <f>HYPERLINK("http://nimonikapp.com/legislations/357978","http://nimonikapp.com/legislations/357978")</f>
        <v>http://nimonikapp.com/legislations/357978</v>
      </c>
      <c r="H560" s="1" t="s">
        <v>18</v>
      </c>
      <c r="K560" s="5">
        <v>44744.0</v>
      </c>
      <c r="L560" s="5">
        <v>44834.0</v>
      </c>
      <c r="M560" s="5">
        <v>44748.0</v>
      </c>
    </row>
    <row r="561">
      <c r="A561" s="1" t="s">
        <v>202</v>
      </c>
      <c r="B561" s="1" t="s">
        <v>25</v>
      </c>
      <c r="C561" s="1" t="s">
        <v>329</v>
      </c>
      <c r="D561" s="1" t="s">
        <v>26</v>
      </c>
      <c r="E561" s="1" t="str">
        <f>Vlookup(C561,'Oil &amp; Gas Documents - Canada'!F:N,9,FALSE)</f>
        <v>#N/A</v>
      </c>
      <c r="F561" s="1" t="s">
        <v>328</v>
      </c>
      <c r="G561" s="4" t="str">
        <f>HYPERLINK("http://nimonikapp.com/legislations/96706","http://nimonikapp.com/legislations/96706")</f>
        <v>http://nimonikapp.com/legislations/96706</v>
      </c>
      <c r="H561" s="1" t="s">
        <v>18</v>
      </c>
      <c r="I561" s="1" t="s">
        <v>370</v>
      </c>
      <c r="J561" s="1" t="s">
        <v>371</v>
      </c>
      <c r="K561" s="5">
        <v>44748.0</v>
      </c>
      <c r="M561" s="5">
        <v>44748.0</v>
      </c>
      <c r="N561" s="1" t="s">
        <v>330</v>
      </c>
    </row>
    <row r="562" hidden="1">
      <c r="A562" s="1" t="s">
        <v>202</v>
      </c>
      <c r="B562" s="1" t="s">
        <v>25</v>
      </c>
      <c r="C562" s="1" t="s">
        <v>1659</v>
      </c>
      <c r="D562" s="1" t="str">
        <f>Vlookup(C562,'Oil &amp; Gas Documents - Canada'!F:M,2,FALSE)</f>
        <v>#N/A</v>
      </c>
      <c r="E562" s="1" t="str">
        <f>Vlookup(C562,'Oil &amp; Gas Documents - Canada'!F:N,9,FALSE)</f>
        <v>#N/A</v>
      </c>
      <c r="F562" s="1" t="s">
        <v>1660</v>
      </c>
      <c r="G562" s="4" t="str">
        <f>HYPERLINK("http://nimonikapp.com/legislations/268529","http://nimonikapp.com/legislations/268529")</f>
        <v>http://nimonikapp.com/legislations/268529</v>
      </c>
      <c r="H562" s="1" t="s">
        <v>18</v>
      </c>
      <c r="I562" s="1" t="s">
        <v>370</v>
      </c>
      <c r="J562" s="1" t="s">
        <v>371</v>
      </c>
      <c r="K562" s="5">
        <v>44748.0</v>
      </c>
      <c r="M562" s="5">
        <v>44748.0</v>
      </c>
      <c r="N562" s="1" t="s">
        <v>1661</v>
      </c>
    </row>
    <row r="563">
      <c r="A563" s="1" t="s">
        <v>202</v>
      </c>
      <c r="B563" s="1" t="s">
        <v>25</v>
      </c>
      <c r="C563" s="1" t="s">
        <v>373</v>
      </c>
      <c r="D563" s="1" t="s">
        <v>26</v>
      </c>
      <c r="E563" s="1" t="str">
        <f>Vlookup(C563,'Oil &amp; Gas Documents - Canada'!F:N,9,FALSE)</f>
        <v>#N/A</v>
      </c>
      <c r="F563" s="1" t="s">
        <v>372</v>
      </c>
      <c r="G563" s="4" t="str">
        <f>HYPERLINK("http://nimonikapp.com/legislations/1304","http://nimonikapp.com/legislations/1304")</f>
        <v>http://nimonikapp.com/legislations/1304</v>
      </c>
      <c r="H563" s="1" t="s">
        <v>18</v>
      </c>
      <c r="I563" s="1" t="s">
        <v>370</v>
      </c>
      <c r="J563" s="1" t="s">
        <v>371</v>
      </c>
      <c r="K563" s="5">
        <v>44748.0</v>
      </c>
      <c r="M563" s="5">
        <v>44748.0</v>
      </c>
      <c r="N563" s="1" t="s">
        <v>374</v>
      </c>
    </row>
    <row r="564" hidden="1">
      <c r="A564" s="1" t="s">
        <v>202</v>
      </c>
      <c r="B564" s="1" t="s">
        <v>25</v>
      </c>
      <c r="C564" s="1" t="s">
        <v>1672</v>
      </c>
      <c r="D564" s="1" t="str">
        <f>Vlookup(C564,'Oil &amp; Gas Documents - Canada'!F:M,2,FALSE)</f>
        <v>#N/A</v>
      </c>
      <c r="E564" s="1" t="str">
        <f>Vlookup(C564,'Oil &amp; Gas Documents - Canada'!F:N,9,FALSE)</f>
        <v>#N/A</v>
      </c>
      <c r="F564" s="1" t="s">
        <v>1673</v>
      </c>
      <c r="G564" s="4" t="str">
        <f>HYPERLINK("http://nimonikapp.com/legislations/2","http://nimonikapp.com/legislations/2")</f>
        <v>http://nimonikapp.com/legislations/2</v>
      </c>
      <c r="H564" s="1" t="s">
        <v>18</v>
      </c>
      <c r="I564" s="1" t="s">
        <v>370</v>
      </c>
      <c r="J564" s="1" t="s">
        <v>371</v>
      </c>
      <c r="K564" s="5">
        <v>44748.0</v>
      </c>
      <c r="M564" s="5">
        <v>44748.0</v>
      </c>
      <c r="N564" s="1" t="s">
        <v>1676</v>
      </c>
    </row>
    <row r="565">
      <c r="A565" s="1" t="s">
        <v>202</v>
      </c>
      <c r="B565" s="1" t="s">
        <v>25</v>
      </c>
      <c r="C565" s="1" t="s">
        <v>346</v>
      </c>
      <c r="D565" s="1" t="s">
        <v>26</v>
      </c>
      <c r="E565" s="1" t="str">
        <f>Vlookup(C565,'Oil &amp; Gas Documents - Canada'!F:N,9,FALSE)</f>
        <v>#N/A</v>
      </c>
      <c r="F565" s="1" t="s">
        <v>345</v>
      </c>
      <c r="G565" s="4" t="str">
        <f>HYPERLINK("http://nimonikapp.com/legislations/115","http://nimonikapp.com/legislations/115")</f>
        <v>http://nimonikapp.com/legislations/115</v>
      </c>
      <c r="H565" s="1" t="s">
        <v>18</v>
      </c>
      <c r="I565" s="1" t="s">
        <v>370</v>
      </c>
      <c r="J565" s="1" t="s">
        <v>371</v>
      </c>
      <c r="K565" s="5">
        <v>44748.0</v>
      </c>
      <c r="M565" s="5">
        <v>44748.0</v>
      </c>
      <c r="N565" s="1" t="s">
        <v>347</v>
      </c>
    </row>
    <row r="566">
      <c r="A566" s="1" t="s">
        <v>202</v>
      </c>
      <c r="B566" s="1" t="s">
        <v>25</v>
      </c>
      <c r="C566" s="1" t="s">
        <v>376</v>
      </c>
      <c r="D566" s="1" t="s">
        <v>26</v>
      </c>
      <c r="E566" s="1" t="str">
        <f>Vlookup(C566,'Oil &amp; Gas Documents - Canada'!F:N,9,FALSE)</f>
        <v>#N/A</v>
      </c>
      <c r="F566" s="1" t="s">
        <v>375</v>
      </c>
      <c r="G566" s="4" t="str">
        <f>HYPERLINK("http://nimonikapp.com/legislations/35","http://nimonikapp.com/legislations/35")</f>
        <v>http://nimonikapp.com/legislations/35</v>
      </c>
      <c r="H566" s="1" t="s">
        <v>18</v>
      </c>
      <c r="I566" s="1" t="s">
        <v>370</v>
      </c>
      <c r="J566" s="1" t="s">
        <v>371</v>
      </c>
      <c r="K566" s="5">
        <v>44748.0</v>
      </c>
      <c r="M566" s="5">
        <v>44748.0</v>
      </c>
      <c r="N566" s="1" t="s">
        <v>377</v>
      </c>
    </row>
    <row r="567" hidden="1">
      <c r="A567" s="1" t="s">
        <v>202</v>
      </c>
      <c r="B567" s="1" t="s">
        <v>25</v>
      </c>
      <c r="C567" s="1" t="s">
        <v>2254</v>
      </c>
      <c r="D567" s="1" t="str">
        <f>Vlookup(C567,'Oil &amp; Gas Documents - Canada'!F:M,2,FALSE)</f>
        <v>#N/A</v>
      </c>
      <c r="E567" s="1" t="str">
        <f>Vlookup(C567,'Oil &amp; Gas Documents - Canada'!F:N,9,FALSE)</f>
        <v>#N/A</v>
      </c>
      <c r="F567" s="1" t="s">
        <v>2255</v>
      </c>
      <c r="G567" s="4" t="str">
        <f>HYPERLINK("http://nimonikapp.com/legislations/7071","http://nimonikapp.com/legislations/7071")</f>
        <v>http://nimonikapp.com/legislations/7071</v>
      </c>
      <c r="H567" s="1" t="s">
        <v>18</v>
      </c>
      <c r="I567" s="1" t="s">
        <v>370</v>
      </c>
      <c r="J567" s="1" t="s">
        <v>371</v>
      </c>
      <c r="K567" s="5">
        <v>44748.0</v>
      </c>
      <c r="M567" s="5">
        <v>44748.0</v>
      </c>
    </row>
    <row r="568" hidden="1">
      <c r="A568" s="1" t="s">
        <v>1105</v>
      </c>
      <c r="B568" s="1" t="s">
        <v>25</v>
      </c>
      <c r="C568" s="1" t="s">
        <v>2256</v>
      </c>
      <c r="D568" s="1" t="str">
        <f>Vlookup(C568,'Oil &amp; Gas Documents - Canada'!F:M,2,FALSE)</f>
        <v>#N/A</v>
      </c>
      <c r="E568" s="1" t="str">
        <f>Vlookup(C568,'Oil &amp; Gas Documents - Canada'!F:N,9,FALSE)</f>
        <v>#N/A</v>
      </c>
      <c r="F568" s="1" t="s">
        <v>2257</v>
      </c>
      <c r="G568" s="4" t="str">
        <f>HYPERLINK("http://nimonikapp.com/legislations/5686","http://nimonikapp.com/legislations/5686")</f>
        <v>http://nimonikapp.com/legislations/5686</v>
      </c>
      <c r="H568" s="1" t="s">
        <v>18</v>
      </c>
      <c r="I568" s="1" t="s">
        <v>2258</v>
      </c>
      <c r="J568" s="1" t="s">
        <v>2259</v>
      </c>
      <c r="K568" s="5">
        <v>44740.0</v>
      </c>
      <c r="L568" s="5">
        <v>44743.0</v>
      </c>
      <c r="M568" s="5">
        <v>44748.0</v>
      </c>
    </row>
    <row r="569" hidden="1">
      <c r="A569" s="1" t="s">
        <v>1105</v>
      </c>
      <c r="B569" s="1" t="s">
        <v>25</v>
      </c>
      <c r="C569" s="1" t="s">
        <v>2260</v>
      </c>
      <c r="D569" s="1" t="str">
        <f>Vlookup(C569,'Oil &amp; Gas Documents - Canada'!F:M,2,FALSE)</f>
        <v>#N/A</v>
      </c>
      <c r="E569" s="1" t="str">
        <f>Vlookup(C569,'Oil &amp; Gas Documents - Canada'!F:N,9,FALSE)</f>
        <v>#N/A</v>
      </c>
      <c r="F569" s="1" t="s">
        <v>2261</v>
      </c>
      <c r="G569" s="4" t="str">
        <f>HYPERLINK("http://nimonikapp.com/legislations/117856","http://nimonikapp.com/legislations/117856")</f>
        <v>http://nimonikapp.com/legislations/117856</v>
      </c>
      <c r="H569" s="1" t="s">
        <v>18</v>
      </c>
      <c r="I569" s="1" t="s">
        <v>2258</v>
      </c>
      <c r="J569" s="1" t="s">
        <v>2259</v>
      </c>
      <c r="K569" s="5">
        <v>44740.0</v>
      </c>
      <c r="L569" s="5">
        <v>44743.0</v>
      </c>
      <c r="M569" s="5">
        <v>44748.0</v>
      </c>
      <c r="N569" s="1" t="s">
        <v>2262</v>
      </c>
    </row>
    <row r="570" hidden="1">
      <c r="A570" s="1" t="s">
        <v>1105</v>
      </c>
      <c r="B570" s="1" t="s">
        <v>25</v>
      </c>
      <c r="C570" s="1" t="s">
        <v>2263</v>
      </c>
      <c r="D570" s="1" t="str">
        <f>Vlookup(C570,'Oil &amp; Gas Documents - Canada'!F:M,2,FALSE)</f>
        <v>#N/A</v>
      </c>
      <c r="E570" s="1" t="str">
        <f>Vlookup(C570,'Oil &amp; Gas Documents - Canada'!F:N,9,FALSE)</f>
        <v>#N/A</v>
      </c>
      <c r="F570" s="1" t="s">
        <v>2264</v>
      </c>
      <c r="G570" s="4" t="str">
        <f>HYPERLINK("http://nimonikapp.com/legislations/117854","http://nimonikapp.com/legislations/117854")</f>
        <v>http://nimonikapp.com/legislations/117854</v>
      </c>
      <c r="H570" s="1" t="s">
        <v>18</v>
      </c>
      <c r="I570" s="1" t="s">
        <v>2258</v>
      </c>
      <c r="J570" s="1" t="s">
        <v>2259</v>
      </c>
      <c r="K570" s="5">
        <v>44740.0</v>
      </c>
      <c r="L570" s="5">
        <v>44743.0</v>
      </c>
      <c r="M570" s="5">
        <v>44748.0</v>
      </c>
      <c r="N570" s="1" t="s">
        <v>2262</v>
      </c>
    </row>
    <row r="571" hidden="1">
      <c r="A571" s="1" t="s">
        <v>1105</v>
      </c>
      <c r="B571" s="1" t="s">
        <v>25</v>
      </c>
      <c r="C571" s="1" t="s">
        <v>2265</v>
      </c>
      <c r="D571" s="1" t="str">
        <f>Vlookup(C571,'Oil &amp; Gas Documents - Canada'!F:M,2,FALSE)</f>
        <v>#N/A</v>
      </c>
      <c r="E571" s="1" t="str">
        <f>Vlookup(C571,'Oil &amp; Gas Documents - Canada'!F:N,9,FALSE)</f>
        <v>#N/A</v>
      </c>
      <c r="F571" s="1" t="s">
        <v>2266</v>
      </c>
      <c r="G571" s="4" t="str">
        <f>HYPERLINK("http://nimonikapp.com/legislations/104399","http://nimonikapp.com/legislations/104399")</f>
        <v>http://nimonikapp.com/legislations/104399</v>
      </c>
      <c r="H571" s="1" t="s">
        <v>18</v>
      </c>
      <c r="I571" s="1" t="s">
        <v>2258</v>
      </c>
      <c r="J571" s="1" t="s">
        <v>2259</v>
      </c>
      <c r="K571" s="5">
        <v>44740.0</v>
      </c>
      <c r="L571" s="5">
        <v>44743.0</v>
      </c>
      <c r="M571" s="5">
        <v>44748.0</v>
      </c>
      <c r="N571" s="1" t="s">
        <v>2267</v>
      </c>
    </row>
    <row r="572" hidden="1">
      <c r="A572" s="1" t="s">
        <v>21</v>
      </c>
      <c r="B572" s="1" t="s">
        <v>25</v>
      </c>
      <c r="C572" s="1" t="s">
        <v>2268</v>
      </c>
      <c r="D572" s="1" t="str">
        <f>Vlookup(C572,'Oil &amp; Gas Documents - Canada'!F:M,2,FALSE)</f>
        <v>#N/A</v>
      </c>
      <c r="E572" s="1" t="str">
        <f>Vlookup(C572,'Oil &amp; Gas Documents - Canada'!F:N,9,FALSE)</f>
        <v>#N/A</v>
      </c>
      <c r="F572" s="1" t="s">
        <v>2269</v>
      </c>
      <c r="G572" s="4" t="str">
        <f>HYPERLINK("http://nimonikapp.com/legislations/10215","http://nimonikapp.com/legislations/10215")</f>
        <v>http://nimonikapp.com/legislations/10215</v>
      </c>
      <c r="H572" s="1" t="s">
        <v>18</v>
      </c>
      <c r="I572" s="1" t="s">
        <v>2270</v>
      </c>
      <c r="J572" s="1" t="s">
        <v>2271</v>
      </c>
      <c r="K572" s="5">
        <v>44742.0</v>
      </c>
      <c r="M572" s="5">
        <v>44748.0</v>
      </c>
    </row>
    <row r="573" hidden="1">
      <c r="A573" s="1" t="s">
        <v>21</v>
      </c>
      <c r="B573" s="1" t="s">
        <v>25</v>
      </c>
      <c r="C573" s="1" t="s">
        <v>2272</v>
      </c>
      <c r="D573" s="1" t="str">
        <f>Vlookup(C573,'Oil &amp; Gas Documents - Canada'!F:M,2,FALSE)</f>
        <v>#N/A</v>
      </c>
      <c r="E573" s="1" t="str">
        <f>Vlookup(C573,'Oil &amp; Gas Documents - Canada'!F:N,9,FALSE)</f>
        <v>#N/A</v>
      </c>
      <c r="F573" s="1" t="s">
        <v>2273</v>
      </c>
      <c r="G573" s="4" t="str">
        <f>HYPERLINK("http://nimonikapp.com/legislations/6410","http://nimonikapp.com/legislations/6410")</f>
        <v>http://nimonikapp.com/legislations/6410</v>
      </c>
      <c r="H573" s="1" t="s">
        <v>18</v>
      </c>
      <c r="I573" s="1" t="s">
        <v>2270</v>
      </c>
      <c r="J573" s="1" t="s">
        <v>2271</v>
      </c>
      <c r="K573" s="5">
        <v>44742.0</v>
      </c>
      <c r="M573" s="5">
        <v>44748.0</v>
      </c>
      <c r="N573" s="1" t="s">
        <v>2274</v>
      </c>
    </row>
    <row r="574" hidden="1">
      <c r="A574" s="1" t="s">
        <v>21</v>
      </c>
      <c r="B574" s="1" t="s">
        <v>25</v>
      </c>
      <c r="C574" s="1" t="s">
        <v>2275</v>
      </c>
      <c r="D574" s="1" t="str">
        <f>Vlookup(C574,'Oil &amp; Gas Documents - Canada'!F:M,2,FALSE)</f>
        <v>#N/A</v>
      </c>
      <c r="E574" s="1" t="str">
        <f>Vlookup(C574,'Oil &amp; Gas Documents - Canada'!F:N,9,FALSE)</f>
        <v>#N/A</v>
      </c>
      <c r="F574" s="1" t="s">
        <v>2276</v>
      </c>
      <c r="G574" s="4" t="str">
        <f>HYPERLINK("http://nimonikapp.com/legislations/4037","http://nimonikapp.com/legislations/4037")</f>
        <v>http://nimonikapp.com/legislations/4037</v>
      </c>
      <c r="H574" s="1" t="s">
        <v>18</v>
      </c>
      <c r="I574" s="1" t="s">
        <v>2270</v>
      </c>
      <c r="J574" s="1" t="s">
        <v>2271</v>
      </c>
      <c r="K574" s="5">
        <v>44742.0</v>
      </c>
      <c r="M574" s="5">
        <v>44748.0</v>
      </c>
      <c r="N574" s="1" t="s">
        <v>2277</v>
      </c>
    </row>
    <row r="575" hidden="1">
      <c r="A575" s="1" t="s">
        <v>21</v>
      </c>
      <c r="B575" s="1" t="s">
        <v>25</v>
      </c>
      <c r="C575" s="1" t="s">
        <v>2278</v>
      </c>
      <c r="D575" s="1" t="str">
        <f>Vlookup(C575,'Oil &amp; Gas Documents - Canada'!F:M,2,FALSE)</f>
        <v>#N/A</v>
      </c>
      <c r="E575" s="1" t="str">
        <f>Vlookup(C575,'Oil &amp; Gas Documents - Canada'!F:N,9,FALSE)</f>
        <v>#N/A</v>
      </c>
      <c r="F575" s="1" t="s">
        <v>2279</v>
      </c>
      <c r="G575" s="4" t="str">
        <f>HYPERLINK("http://nimonikapp.com/legislations/10214","http://nimonikapp.com/legislations/10214")</f>
        <v>http://nimonikapp.com/legislations/10214</v>
      </c>
      <c r="H575" s="1" t="s">
        <v>18</v>
      </c>
      <c r="I575" s="1" t="s">
        <v>2270</v>
      </c>
      <c r="J575" s="1" t="s">
        <v>2271</v>
      </c>
      <c r="K575" s="5">
        <v>44742.0</v>
      </c>
      <c r="M575" s="5">
        <v>44748.0</v>
      </c>
    </row>
    <row r="576" hidden="1">
      <c r="A576" s="1" t="s">
        <v>21</v>
      </c>
      <c r="B576" s="1" t="s">
        <v>25</v>
      </c>
      <c r="C576" s="1" t="s">
        <v>2280</v>
      </c>
      <c r="D576" s="1" t="str">
        <f>Vlookup(C576,'Oil &amp; Gas Documents - Canada'!F:M,2,FALSE)</f>
        <v>#N/A</v>
      </c>
      <c r="E576" s="1" t="str">
        <f>Vlookup(C576,'Oil &amp; Gas Documents - Canada'!F:N,9,FALSE)</f>
        <v>#N/A</v>
      </c>
      <c r="F576" s="1" t="s">
        <v>2281</v>
      </c>
      <c r="G576" s="4" t="str">
        <f>HYPERLINK("http://nimonikapp.com/legislations/1151","http://nimonikapp.com/legislations/1151")</f>
        <v>http://nimonikapp.com/legislations/1151</v>
      </c>
      <c r="H576" s="1" t="s">
        <v>18</v>
      </c>
      <c r="I576" s="1" t="s">
        <v>2282</v>
      </c>
      <c r="J576" s="1" t="s">
        <v>2283</v>
      </c>
      <c r="K576" s="5">
        <v>44742.0</v>
      </c>
      <c r="L576" s="5">
        <v>44741.0</v>
      </c>
      <c r="M576" s="5">
        <v>44748.0</v>
      </c>
      <c r="N576" s="1" t="s">
        <v>2284</v>
      </c>
    </row>
    <row r="577" hidden="1">
      <c r="A577" s="1" t="s">
        <v>21</v>
      </c>
      <c r="B577" s="1" t="s">
        <v>25</v>
      </c>
      <c r="C577" s="1" t="s">
        <v>2285</v>
      </c>
      <c r="D577" s="1" t="str">
        <f>Vlookup(C577,'Oil &amp; Gas Documents - Canada'!F:M,2,FALSE)</f>
        <v>#N/A</v>
      </c>
      <c r="E577" s="1" t="str">
        <f>Vlookup(C577,'Oil &amp; Gas Documents - Canada'!F:N,9,FALSE)</f>
        <v>#N/A</v>
      </c>
      <c r="F577" s="1" t="s">
        <v>2286</v>
      </c>
      <c r="G577" s="4" t="str">
        <f>HYPERLINK("http://nimonikapp.com/legislations/1150","http://nimonikapp.com/legislations/1150")</f>
        <v>http://nimonikapp.com/legislations/1150</v>
      </c>
      <c r="H577" s="1" t="s">
        <v>18</v>
      </c>
      <c r="I577" s="1" t="s">
        <v>2287</v>
      </c>
      <c r="J577" s="1" t="s">
        <v>2288</v>
      </c>
      <c r="K577" s="5">
        <v>44742.0</v>
      </c>
      <c r="L577" s="5">
        <v>44741.0</v>
      </c>
      <c r="M577" s="5">
        <v>44748.0</v>
      </c>
      <c r="N577" s="1" t="s">
        <v>2289</v>
      </c>
    </row>
    <row r="578" hidden="1">
      <c r="A578" s="1" t="s">
        <v>21</v>
      </c>
      <c r="B578" s="1" t="s">
        <v>25</v>
      </c>
      <c r="C578" s="1" t="s">
        <v>2290</v>
      </c>
      <c r="D578" s="1" t="str">
        <f>Vlookup(C578,'Oil &amp; Gas Documents - Canada'!F:M,2,FALSE)</f>
        <v>#N/A</v>
      </c>
      <c r="E578" s="1" t="str">
        <f>Vlookup(C578,'Oil &amp; Gas Documents - Canada'!F:N,9,FALSE)</f>
        <v>#N/A</v>
      </c>
      <c r="F578" s="1" t="s">
        <v>2291</v>
      </c>
      <c r="G578" s="4" t="str">
        <f>HYPERLINK("http://nimonikapp.com/legislations/6394","http://nimonikapp.com/legislations/6394")</f>
        <v>http://nimonikapp.com/legislations/6394</v>
      </c>
      <c r="H578" s="1" t="s">
        <v>18</v>
      </c>
      <c r="I578" s="1" t="s">
        <v>2292</v>
      </c>
      <c r="J578" s="1" t="s">
        <v>2293</v>
      </c>
      <c r="K578" s="5">
        <v>44742.0</v>
      </c>
      <c r="M578" s="5">
        <v>44748.0</v>
      </c>
      <c r="N578" s="1" t="s">
        <v>2294</v>
      </c>
    </row>
    <row r="579" hidden="1">
      <c r="A579" s="1" t="s">
        <v>21</v>
      </c>
      <c r="B579" s="1" t="s">
        <v>25</v>
      </c>
      <c r="C579" s="1" t="s">
        <v>2295</v>
      </c>
      <c r="D579" s="1" t="str">
        <f>Vlookup(C579,'Oil &amp; Gas Documents - Canada'!F:M,2,FALSE)</f>
        <v>#N/A</v>
      </c>
      <c r="E579" s="1" t="str">
        <f>Vlookup(C579,'Oil &amp; Gas Documents - Canada'!F:N,9,FALSE)</f>
        <v>#N/A</v>
      </c>
      <c r="F579" s="1" t="s">
        <v>2296</v>
      </c>
      <c r="G579" s="4" t="str">
        <f>HYPERLINK("http://nimonikapp.com/legislations/4497","http://nimonikapp.com/legislations/4497")</f>
        <v>http://nimonikapp.com/legislations/4497</v>
      </c>
      <c r="H579" s="1" t="s">
        <v>18</v>
      </c>
      <c r="I579" s="1" t="s">
        <v>2297</v>
      </c>
      <c r="J579" s="1" t="s">
        <v>2298</v>
      </c>
      <c r="K579" s="5">
        <v>44742.0</v>
      </c>
      <c r="L579" s="5">
        <v>44741.0</v>
      </c>
      <c r="M579" s="5">
        <v>44748.0</v>
      </c>
      <c r="N579" s="1" t="s">
        <v>2299</v>
      </c>
    </row>
    <row r="580">
      <c r="A580" s="1" t="s">
        <v>21</v>
      </c>
      <c r="B580" s="1" t="s">
        <v>25</v>
      </c>
      <c r="C580" s="1" t="s">
        <v>105</v>
      </c>
      <c r="D580" s="1" t="str">
        <f>Vlookup(C580,'Oil &amp; Gas Documents - Canada'!F:M,2,FALSE)</f>
        <v>general, oil_and_gas</v>
      </c>
      <c r="E580" s="1" t="str">
        <f>Vlookup(C580,'Oil &amp; Gas Documents - Canada'!F:N,9,FALSE)</f>
        <v/>
      </c>
      <c r="F580" s="1" t="s">
        <v>104</v>
      </c>
      <c r="G580" s="4" t="str">
        <f>HYPERLINK("http://nimonikapp.com/legislations/4208","http://nimonikapp.com/legislations/4208")</f>
        <v>http://nimonikapp.com/legislations/4208</v>
      </c>
      <c r="H580" s="1" t="s">
        <v>18</v>
      </c>
      <c r="I580" s="1" t="s">
        <v>378</v>
      </c>
      <c r="J580" s="1" t="s">
        <v>351</v>
      </c>
      <c r="K580" s="5">
        <v>44742.0</v>
      </c>
      <c r="L580" s="5">
        <v>44722.0</v>
      </c>
      <c r="M580" s="5">
        <v>44748.0</v>
      </c>
      <c r="N580" s="1" t="s">
        <v>106</v>
      </c>
    </row>
    <row r="581" hidden="1">
      <c r="A581" s="1" t="s">
        <v>21</v>
      </c>
      <c r="B581" s="1" t="s">
        <v>25</v>
      </c>
      <c r="C581" s="1" t="s">
        <v>2300</v>
      </c>
      <c r="D581" s="1" t="str">
        <f>Vlookup(C581,'Oil &amp; Gas Documents - Canada'!F:M,2,FALSE)</f>
        <v>#N/A</v>
      </c>
      <c r="E581" s="1" t="str">
        <f>Vlookup(C581,'Oil &amp; Gas Documents - Canada'!F:N,9,FALSE)</f>
        <v>#N/A</v>
      </c>
      <c r="F581" s="1" t="s">
        <v>2301</v>
      </c>
      <c r="G581" s="4" t="str">
        <f>HYPERLINK("http://nimonikapp.com/legislations/105985","http://nimonikapp.com/legislations/105985")</f>
        <v>http://nimonikapp.com/legislations/105985</v>
      </c>
      <c r="H581" s="1" t="s">
        <v>18</v>
      </c>
      <c r="I581" s="1" t="s">
        <v>2302</v>
      </c>
      <c r="J581" s="1" t="s">
        <v>2303</v>
      </c>
      <c r="K581" s="5">
        <v>44742.0</v>
      </c>
      <c r="L581" s="5">
        <v>44722.0</v>
      </c>
      <c r="M581" s="5">
        <v>44748.0</v>
      </c>
    </row>
    <row r="582" hidden="1">
      <c r="A582" s="1" t="s">
        <v>21</v>
      </c>
      <c r="B582" s="1" t="s">
        <v>25</v>
      </c>
      <c r="C582" s="1" t="s">
        <v>2304</v>
      </c>
      <c r="D582" s="1" t="str">
        <f>Vlookup(C582,'Oil &amp; Gas Documents - Canada'!F:M,2,FALSE)</f>
        <v>#N/A</v>
      </c>
      <c r="E582" s="1" t="str">
        <f>Vlookup(C582,'Oil &amp; Gas Documents - Canada'!F:N,9,FALSE)</f>
        <v>#N/A</v>
      </c>
      <c r="F582" s="1" t="s">
        <v>827</v>
      </c>
      <c r="G582" s="4" t="str">
        <f>HYPERLINK("http://nimonikapp.com/legislations/10617","http://nimonikapp.com/legislations/10617")</f>
        <v>http://nimonikapp.com/legislations/10617</v>
      </c>
      <c r="H582" s="1" t="s">
        <v>18</v>
      </c>
      <c r="I582" s="1" t="s">
        <v>2305</v>
      </c>
      <c r="J582" s="1" t="s">
        <v>2306</v>
      </c>
      <c r="K582" s="5">
        <v>44742.0</v>
      </c>
      <c r="L582" s="5">
        <v>44805.0</v>
      </c>
      <c r="M582" s="5">
        <v>44748.0</v>
      </c>
      <c r="N582" s="1" t="s">
        <v>2307</v>
      </c>
    </row>
    <row r="583" hidden="1">
      <c r="A583" s="1" t="s">
        <v>21</v>
      </c>
      <c r="B583" s="1" t="s">
        <v>25</v>
      </c>
      <c r="C583" s="1" t="s">
        <v>1859</v>
      </c>
      <c r="D583" s="1" t="str">
        <f>Vlookup(C583,'Oil &amp; Gas Documents - Canada'!F:M,2,FALSE)</f>
        <v>#N/A</v>
      </c>
      <c r="E583" s="1" t="str">
        <f>Vlookup(C583,'Oil &amp; Gas Documents - Canada'!F:N,9,FALSE)</f>
        <v>#N/A</v>
      </c>
      <c r="F583" s="1" t="s">
        <v>1860</v>
      </c>
      <c r="G583" s="4" t="str">
        <f>HYPERLINK("http://nimonikapp.com/legislations/286993","http://nimonikapp.com/legislations/286993")</f>
        <v>http://nimonikapp.com/legislations/286993</v>
      </c>
      <c r="H583" s="1" t="s">
        <v>18</v>
      </c>
      <c r="I583" s="1" t="s">
        <v>2308</v>
      </c>
      <c r="J583" s="1" t="s">
        <v>1862</v>
      </c>
      <c r="K583" s="5">
        <v>44742.0</v>
      </c>
      <c r="L583" s="5">
        <v>44986.0</v>
      </c>
      <c r="M583" s="5">
        <v>44748.0</v>
      </c>
      <c r="N583" s="1" t="s">
        <v>1863</v>
      </c>
    </row>
    <row r="584" hidden="1">
      <c r="A584" s="1" t="s">
        <v>21</v>
      </c>
      <c r="B584" s="1" t="s">
        <v>25</v>
      </c>
      <c r="C584" s="1" t="s">
        <v>1296</v>
      </c>
      <c r="D584" s="1" t="str">
        <f>Vlookup(C584,'Oil &amp; Gas Documents - Canada'!F:M,2,FALSE)</f>
        <v>#N/A</v>
      </c>
      <c r="E584" s="1" t="str">
        <f>Vlookup(C584,'Oil &amp; Gas Documents - Canada'!F:N,9,FALSE)</f>
        <v>#N/A</v>
      </c>
      <c r="F584" s="1" t="s">
        <v>1297</v>
      </c>
      <c r="G584" s="4" t="str">
        <f>HYPERLINK("http://nimonikapp.com/legislations/6990","http://nimonikapp.com/legislations/6990")</f>
        <v>http://nimonikapp.com/legislations/6990</v>
      </c>
      <c r="H584" s="1" t="s">
        <v>18</v>
      </c>
      <c r="I584" s="1" t="s">
        <v>2309</v>
      </c>
      <c r="J584" s="1" t="s">
        <v>2310</v>
      </c>
      <c r="K584" s="5">
        <v>44742.0</v>
      </c>
      <c r="L584" s="5">
        <v>44771.0</v>
      </c>
      <c r="M584" s="5">
        <v>44748.0</v>
      </c>
      <c r="N584" s="1" t="s">
        <v>1298</v>
      </c>
    </row>
    <row r="585">
      <c r="A585" s="1" t="s">
        <v>21</v>
      </c>
      <c r="B585" s="1" t="s">
        <v>25</v>
      </c>
      <c r="C585" s="1" t="s">
        <v>117</v>
      </c>
      <c r="D585" s="1" t="str">
        <f>Vlookup(C585,'Oil &amp; Gas Documents - Canada'!F:M,2,FALSE)</f>
        <v>oil_and_gas</v>
      </c>
      <c r="E585" s="1" t="str">
        <f>Vlookup(C585,'Oil &amp; Gas Documents - Canada'!F:N,9,FALSE)</f>
        <v/>
      </c>
      <c r="F585" s="1" t="s">
        <v>116</v>
      </c>
      <c r="G585" s="4" t="str">
        <f>HYPERLINK("http://nimonikapp.com/legislations/3688","http://nimonikapp.com/legislations/3688")</f>
        <v>http://nimonikapp.com/legislations/3688</v>
      </c>
      <c r="H585" s="1" t="s">
        <v>18</v>
      </c>
      <c r="I585" s="1" t="s">
        <v>379</v>
      </c>
      <c r="J585" s="1" t="s">
        <v>380</v>
      </c>
      <c r="K585" s="5">
        <v>44742.0</v>
      </c>
      <c r="L585" s="5">
        <v>44725.0</v>
      </c>
      <c r="M585" s="5">
        <v>44748.0</v>
      </c>
      <c r="N585" s="1" t="s">
        <v>118</v>
      </c>
    </row>
    <row r="586" hidden="1">
      <c r="A586" s="1" t="s">
        <v>21</v>
      </c>
      <c r="B586" s="1" t="s">
        <v>25</v>
      </c>
      <c r="C586" s="1" t="s">
        <v>2311</v>
      </c>
      <c r="D586" s="1" t="str">
        <f>Vlookup(C586,'Oil &amp; Gas Documents - Canada'!F:M,2,FALSE)</f>
        <v>#N/A</v>
      </c>
      <c r="E586" s="1" t="str">
        <f>Vlookup(C586,'Oil &amp; Gas Documents - Canada'!F:N,9,FALSE)</f>
        <v>#N/A</v>
      </c>
      <c r="F586" s="1" t="s">
        <v>2312</v>
      </c>
      <c r="G586" s="4" t="str">
        <f>HYPERLINK("http://nimonikapp.com/legislations/286992","http://nimonikapp.com/legislations/286992")</f>
        <v>http://nimonikapp.com/legislations/286992</v>
      </c>
      <c r="H586" s="1" t="s">
        <v>18</v>
      </c>
      <c r="I586" s="1" t="s">
        <v>2313</v>
      </c>
      <c r="J586" s="1" t="s">
        <v>2314</v>
      </c>
      <c r="K586" s="5">
        <v>44742.0</v>
      </c>
      <c r="L586" s="5">
        <v>44722.0</v>
      </c>
      <c r="M586" s="5">
        <v>44748.0</v>
      </c>
    </row>
    <row r="587" hidden="1">
      <c r="A587" s="1" t="s">
        <v>21</v>
      </c>
      <c r="B587" s="1" t="s">
        <v>25</v>
      </c>
      <c r="C587" s="1" t="s">
        <v>1586</v>
      </c>
      <c r="D587" s="1" t="str">
        <f>Vlookup(C587,'Oil &amp; Gas Documents - Canada'!F:M,2,FALSE)</f>
        <v>#N/A</v>
      </c>
      <c r="E587" s="1" t="str">
        <f>Vlookup(C587,'Oil &amp; Gas Documents - Canada'!F:N,9,FALSE)</f>
        <v>#N/A</v>
      </c>
      <c r="F587" s="1" t="s">
        <v>1587</v>
      </c>
      <c r="G587" s="4" t="str">
        <f>HYPERLINK("http://nimonikapp.com/legislations/1133","http://nimonikapp.com/legislations/1133")</f>
        <v>http://nimonikapp.com/legislations/1133</v>
      </c>
      <c r="H587" s="1" t="s">
        <v>18</v>
      </c>
      <c r="I587" s="1" t="s">
        <v>2315</v>
      </c>
      <c r="J587" s="1" t="s">
        <v>1589</v>
      </c>
      <c r="K587" s="5">
        <v>44742.0</v>
      </c>
      <c r="L587" s="5">
        <v>44741.0</v>
      </c>
      <c r="M587" s="5">
        <v>44748.0</v>
      </c>
      <c r="N587" s="1" t="s">
        <v>1590</v>
      </c>
    </row>
    <row r="588" hidden="1">
      <c r="A588" s="1" t="s">
        <v>21</v>
      </c>
      <c r="B588" s="1" t="s">
        <v>25</v>
      </c>
      <c r="C588" s="1" t="s">
        <v>2316</v>
      </c>
      <c r="D588" s="1" t="str">
        <f>Vlookup(C588,'Oil &amp; Gas Documents - Canada'!F:M,2,FALSE)</f>
        <v>#N/A</v>
      </c>
      <c r="E588" s="1" t="str">
        <f>Vlookup(C588,'Oil &amp; Gas Documents - Canada'!F:N,9,FALSE)</f>
        <v>#N/A</v>
      </c>
      <c r="F588" s="1" t="s">
        <v>119</v>
      </c>
      <c r="G588" s="4" t="str">
        <f>HYPERLINK("http://nimonikapp.com/legislations/118354","http://nimonikapp.com/legislations/118354")</f>
        <v>http://nimonikapp.com/legislations/118354</v>
      </c>
      <c r="H588" s="1" t="s">
        <v>18</v>
      </c>
      <c r="I588" s="1" t="s">
        <v>2317</v>
      </c>
      <c r="J588" s="1" t="s">
        <v>2318</v>
      </c>
      <c r="K588" s="5">
        <v>44742.0</v>
      </c>
      <c r="L588" s="5">
        <v>44895.0</v>
      </c>
      <c r="M588" s="5">
        <v>44748.0</v>
      </c>
      <c r="N588" s="1" t="s">
        <v>2319</v>
      </c>
    </row>
    <row r="589" hidden="1">
      <c r="A589" s="1" t="s">
        <v>21</v>
      </c>
      <c r="B589" s="1" t="s">
        <v>25</v>
      </c>
      <c r="C589" s="1" t="s">
        <v>2320</v>
      </c>
      <c r="D589" s="1" t="str">
        <f>Vlookup(C589,'Oil &amp; Gas Documents - Canada'!F:M,2,FALSE)</f>
        <v>#N/A</v>
      </c>
      <c r="E589" s="1" t="str">
        <f>Vlookup(C589,'Oil &amp; Gas Documents - Canada'!F:N,9,FALSE)</f>
        <v>#N/A</v>
      </c>
      <c r="F589" s="1" t="s">
        <v>2321</v>
      </c>
      <c r="G589" s="4" t="str">
        <f>HYPERLINK("http://nimonikapp.com/legislations/1154","http://nimonikapp.com/legislations/1154")</f>
        <v>http://nimonikapp.com/legislations/1154</v>
      </c>
      <c r="H589" s="1" t="s">
        <v>18</v>
      </c>
      <c r="I589" s="1" t="s">
        <v>2322</v>
      </c>
      <c r="J589" s="1" t="s">
        <v>2323</v>
      </c>
      <c r="K589" s="5">
        <v>44742.0</v>
      </c>
      <c r="L589" s="5">
        <v>44895.0</v>
      </c>
      <c r="M589" s="5">
        <v>44748.0</v>
      </c>
    </row>
    <row r="590" hidden="1">
      <c r="A590" s="1" t="s">
        <v>21</v>
      </c>
      <c r="B590" s="1" t="s">
        <v>25</v>
      </c>
      <c r="C590" s="1" t="s">
        <v>2324</v>
      </c>
      <c r="D590" s="1" t="str">
        <f>Vlookup(C590,'Oil &amp; Gas Documents - Canada'!F:M,2,FALSE)</f>
        <v>#N/A</v>
      </c>
      <c r="E590" s="1" t="str">
        <f>Vlookup(C590,'Oil &amp; Gas Documents - Canada'!F:N,9,FALSE)</f>
        <v>#N/A</v>
      </c>
      <c r="F590" s="1" t="s">
        <v>2325</v>
      </c>
      <c r="G590" s="4" t="str">
        <f>HYPERLINK("http://nimonikapp.com/legislations/1146","http://nimonikapp.com/legislations/1146")</f>
        <v>http://nimonikapp.com/legislations/1146</v>
      </c>
      <c r="H590" s="1" t="s">
        <v>18</v>
      </c>
      <c r="I590" s="1" t="s">
        <v>2326</v>
      </c>
      <c r="J590" s="1" t="s">
        <v>2327</v>
      </c>
      <c r="K590" s="5">
        <v>44742.0</v>
      </c>
      <c r="L590" s="5">
        <v>44895.0</v>
      </c>
      <c r="M590" s="5">
        <v>44748.0</v>
      </c>
    </row>
    <row r="591" hidden="1">
      <c r="A591" s="1" t="s">
        <v>21</v>
      </c>
      <c r="B591" s="1" t="s">
        <v>25</v>
      </c>
      <c r="C591" s="1" t="s">
        <v>1311</v>
      </c>
      <c r="D591" s="1" t="str">
        <f>Vlookup(C591,'Oil &amp; Gas Documents - Canada'!F:M,2,FALSE)</f>
        <v>#N/A</v>
      </c>
      <c r="E591" s="1" t="str">
        <f>Vlookup(C591,'Oil &amp; Gas Documents - Canada'!F:N,9,FALSE)</f>
        <v>#N/A</v>
      </c>
      <c r="F591" s="1" t="s">
        <v>1312</v>
      </c>
      <c r="G591" s="4" t="str">
        <f>HYPERLINK("http://nimonikapp.com/legislations/6393","http://nimonikapp.com/legislations/6393")</f>
        <v>http://nimonikapp.com/legislations/6393</v>
      </c>
      <c r="H591" s="1" t="s">
        <v>18</v>
      </c>
      <c r="I591" s="1" t="s">
        <v>2328</v>
      </c>
      <c r="J591" s="1" t="s">
        <v>2329</v>
      </c>
      <c r="K591" s="5">
        <v>44742.0</v>
      </c>
      <c r="L591" s="5">
        <v>44895.0</v>
      </c>
      <c r="M591" s="5">
        <v>44748.0</v>
      </c>
      <c r="N591" s="1" t="s">
        <v>1313</v>
      </c>
    </row>
    <row r="592" hidden="1">
      <c r="A592" s="1" t="s">
        <v>21</v>
      </c>
      <c r="B592" s="1" t="s">
        <v>25</v>
      </c>
      <c r="C592" s="1" t="s">
        <v>1296</v>
      </c>
      <c r="D592" s="1" t="str">
        <f>Vlookup(C592,'Oil &amp; Gas Documents - Canada'!F:M,2,FALSE)</f>
        <v>#N/A</v>
      </c>
      <c r="E592" s="1" t="str">
        <f>Vlookup(C592,'Oil &amp; Gas Documents - Canada'!F:N,9,FALSE)</f>
        <v>#N/A</v>
      </c>
      <c r="F592" s="1" t="s">
        <v>1297</v>
      </c>
      <c r="G592" s="4" t="str">
        <f>HYPERLINK("http://nimonikapp.com/legislations/6990","http://nimonikapp.com/legislations/6990")</f>
        <v>http://nimonikapp.com/legislations/6990</v>
      </c>
      <c r="H592" s="1" t="s">
        <v>18</v>
      </c>
      <c r="I592" s="1" t="s">
        <v>2330</v>
      </c>
      <c r="J592" s="1" t="s">
        <v>2310</v>
      </c>
      <c r="K592" s="5">
        <v>44742.0</v>
      </c>
      <c r="L592" s="5">
        <v>44895.0</v>
      </c>
      <c r="M592" s="5">
        <v>44748.0</v>
      </c>
      <c r="N592" s="1" t="s">
        <v>1298</v>
      </c>
    </row>
    <row r="593" hidden="1">
      <c r="A593" s="1" t="s">
        <v>73</v>
      </c>
      <c r="B593" s="1" t="s">
        <v>352</v>
      </c>
      <c r="C593" s="1" t="s">
        <v>2331</v>
      </c>
      <c r="D593" s="1" t="str">
        <f>Vlookup(C593,'Oil &amp; Gas Documents - Canada'!F:M,2,FALSE)</f>
        <v>#N/A</v>
      </c>
      <c r="E593" s="1" t="str">
        <f>Vlookup(C593,'Oil &amp; Gas Documents - Canada'!F:N,9,FALSE)</f>
        <v>#N/A</v>
      </c>
      <c r="F593" s="1" t="s">
        <v>2332</v>
      </c>
      <c r="G593" s="4" t="str">
        <f>HYPERLINK("http://nimonikapp.com/legislations/342597","http://nimonikapp.com/legislations/342597")</f>
        <v>http://nimonikapp.com/legislations/342597</v>
      </c>
      <c r="H593" s="1" t="s">
        <v>356</v>
      </c>
      <c r="I593" s="1" t="s">
        <v>1648</v>
      </c>
      <c r="J593" s="1" t="s">
        <v>1649</v>
      </c>
      <c r="K593" s="5">
        <v>44744.0</v>
      </c>
      <c r="L593" s="5">
        <v>44732.0</v>
      </c>
      <c r="M593" s="5">
        <v>44748.0</v>
      </c>
      <c r="N593" s="1" t="s">
        <v>2333</v>
      </c>
    </row>
    <row r="594" hidden="1">
      <c r="A594" s="1" t="s">
        <v>202</v>
      </c>
      <c r="B594" s="1" t="s">
        <v>25</v>
      </c>
      <c r="C594" s="1" t="s">
        <v>2067</v>
      </c>
      <c r="D594" s="1" t="str">
        <f>Vlookup(C594,'Oil &amp; Gas Documents - Canada'!F:M,2,FALSE)</f>
        <v>#N/A</v>
      </c>
      <c r="E594" s="1" t="str">
        <f>Vlookup(C594,'Oil &amp; Gas Documents - Canada'!F:N,9,FALSE)</f>
        <v>#N/A</v>
      </c>
      <c r="F594" s="1" t="s">
        <v>2068</v>
      </c>
      <c r="G594" s="4" t="str">
        <f>HYPERLINK("http://nimonikapp.com/legislations/212","http://nimonikapp.com/legislations/212")</f>
        <v>http://nimonikapp.com/legislations/212</v>
      </c>
      <c r="H594" s="1" t="s">
        <v>18</v>
      </c>
      <c r="I594" s="1" t="s">
        <v>2334</v>
      </c>
      <c r="J594" s="1" t="s">
        <v>2335</v>
      </c>
      <c r="K594" s="5">
        <v>44713.0</v>
      </c>
      <c r="L594" s="5">
        <v>44713.0</v>
      </c>
      <c r="M594" s="5">
        <v>44747.0</v>
      </c>
      <c r="N594" s="1" t="s">
        <v>2069</v>
      </c>
    </row>
    <row r="595" hidden="1">
      <c r="A595" s="1" t="s">
        <v>202</v>
      </c>
      <c r="B595" s="1" t="s">
        <v>25</v>
      </c>
      <c r="C595" s="1" t="s">
        <v>2336</v>
      </c>
      <c r="D595" s="1" t="str">
        <f>Vlookup(C595,'Oil &amp; Gas Documents - Canada'!F:M,2,FALSE)</f>
        <v>#N/A</v>
      </c>
      <c r="E595" s="1" t="str">
        <f>Vlookup(C595,'Oil &amp; Gas Documents - Canada'!F:N,9,FALSE)</f>
        <v>#N/A</v>
      </c>
      <c r="F595" s="1" t="s">
        <v>2337</v>
      </c>
      <c r="G595" s="4" t="str">
        <f>HYPERLINK("http://nimonikapp.com/legislations/6189","http://nimonikapp.com/legislations/6189")</f>
        <v>http://nimonikapp.com/legislations/6189</v>
      </c>
      <c r="H595" s="1" t="s">
        <v>18</v>
      </c>
      <c r="I595" s="1" t="s">
        <v>2334</v>
      </c>
      <c r="J595" s="1" t="s">
        <v>2335</v>
      </c>
      <c r="K595" s="5">
        <v>44713.0</v>
      </c>
      <c r="L595" s="5">
        <v>44713.0</v>
      </c>
      <c r="M595" s="5">
        <v>44747.0</v>
      </c>
      <c r="N595" s="1" t="s">
        <v>2338</v>
      </c>
    </row>
    <row r="596" hidden="1">
      <c r="A596" s="1" t="s">
        <v>202</v>
      </c>
      <c r="B596" s="1" t="s">
        <v>25</v>
      </c>
      <c r="C596" s="1" t="s">
        <v>2114</v>
      </c>
      <c r="D596" s="1" t="str">
        <f>Vlookup(C596,'Oil &amp; Gas Documents - Canada'!F:M,2,FALSE)</f>
        <v>#N/A</v>
      </c>
      <c r="E596" s="1" t="str">
        <f>Vlookup(C596,'Oil &amp; Gas Documents - Canada'!F:N,9,FALSE)</f>
        <v>#N/A</v>
      </c>
      <c r="F596" s="1" t="s">
        <v>2115</v>
      </c>
      <c r="G596" s="4" t="str">
        <f>HYPERLINK("http://nimonikapp.com/legislations/46","http://nimonikapp.com/legislations/46")</f>
        <v>http://nimonikapp.com/legislations/46</v>
      </c>
      <c r="H596" s="1" t="s">
        <v>18</v>
      </c>
      <c r="I596" s="1" t="s">
        <v>2334</v>
      </c>
      <c r="J596" s="1" t="s">
        <v>2335</v>
      </c>
      <c r="K596" s="5">
        <v>44713.0</v>
      </c>
      <c r="L596" s="5">
        <v>44713.0</v>
      </c>
      <c r="M596" s="5">
        <v>44747.0</v>
      </c>
      <c r="N596" s="1" t="s">
        <v>2116</v>
      </c>
    </row>
    <row r="597" hidden="1">
      <c r="A597" s="1" t="s">
        <v>202</v>
      </c>
      <c r="B597" s="1" t="s">
        <v>25</v>
      </c>
      <c r="C597" s="1" t="s">
        <v>2339</v>
      </c>
      <c r="D597" s="1" t="str">
        <f>Vlookup(C597,'Oil &amp; Gas Documents - Canada'!F:M,2,FALSE)</f>
        <v>#N/A</v>
      </c>
      <c r="E597" s="1" t="str">
        <f>Vlookup(C597,'Oil &amp; Gas Documents - Canada'!F:N,9,FALSE)</f>
        <v>#N/A</v>
      </c>
      <c r="F597" s="1" t="s">
        <v>2340</v>
      </c>
      <c r="G597" s="4" t="str">
        <f>HYPERLINK("http://nimonikapp.com/legislations/261","http://nimonikapp.com/legislations/261")</f>
        <v>http://nimonikapp.com/legislations/261</v>
      </c>
      <c r="H597" s="1" t="s">
        <v>18</v>
      </c>
      <c r="I597" s="1" t="s">
        <v>2334</v>
      </c>
      <c r="J597" s="1" t="s">
        <v>2335</v>
      </c>
      <c r="K597" s="5">
        <v>44713.0</v>
      </c>
      <c r="L597" s="5">
        <v>44713.0</v>
      </c>
      <c r="M597" s="5">
        <v>44747.0</v>
      </c>
      <c r="N597" s="1" t="s">
        <v>2341</v>
      </c>
    </row>
    <row r="598" hidden="1">
      <c r="A598" s="1" t="s">
        <v>202</v>
      </c>
      <c r="B598" s="1" t="s">
        <v>25</v>
      </c>
      <c r="C598" s="1" t="s">
        <v>2342</v>
      </c>
      <c r="D598" s="1" t="str">
        <f>Vlookup(C598,'Oil &amp; Gas Documents - Canada'!F:M,2,FALSE)</f>
        <v>#N/A</v>
      </c>
      <c r="E598" s="1" t="str">
        <f>Vlookup(C598,'Oil &amp; Gas Documents - Canada'!F:N,9,FALSE)</f>
        <v>#N/A</v>
      </c>
      <c r="F598" s="1" t="s">
        <v>2343</v>
      </c>
      <c r="G598" s="4" t="str">
        <f>HYPERLINK("http://nimonikapp.com/legislations/44","http://nimonikapp.com/legislations/44")</f>
        <v>http://nimonikapp.com/legislations/44</v>
      </c>
      <c r="H598" s="1" t="s">
        <v>18</v>
      </c>
      <c r="I598" s="1" t="s">
        <v>2334</v>
      </c>
      <c r="J598" s="1" t="s">
        <v>2335</v>
      </c>
      <c r="K598" s="5">
        <v>44713.0</v>
      </c>
      <c r="L598" s="5">
        <v>44713.0</v>
      </c>
      <c r="M598" s="5">
        <v>44747.0</v>
      </c>
    </row>
    <row r="599" hidden="1">
      <c r="A599" s="1" t="s">
        <v>202</v>
      </c>
      <c r="B599" s="1" t="s">
        <v>25</v>
      </c>
      <c r="C599" s="1" t="s">
        <v>2064</v>
      </c>
      <c r="D599" s="1" t="str">
        <f>Vlookup(C599,'Oil &amp; Gas Documents - Canada'!F:M,2,FALSE)</f>
        <v>#N/A</v>
      </c>
      <c r="E599" s="1" t="str">
        <f>Vlookup(C599,'Oil &amp; Gas Documents - Canada'!F:N,9,FALSE)</f>
        <v>#N/A</v>
      </c>
      <c r="F599" s="1" t="s">
        <v>2065</v>
      </c>
      <c r="G599" s="4" t="str">
        <f>HYPERLINK("http://nimonikapp.com/legislations/706","http://nimonikapp.com/legislations/706")</f>
        <v>http://nimonikapp.com/legislations/706</v>
      </c>
      <c r="H599" s="1" t="s">
        <v>18</v>
      </c>
      <c r="I599" s="1" t="s">
        <v>2334</v>
      </c>
      <c r="J599" s="1" t="s">
        <v>2335</v>
      </c>
      <c r="K599" s="5">
        <v>44713.0</v>
      </c>
      <c r="L599" s="5">
        <v>44713.0</v>
      </c>
      <c r="M599" s="5">
        <v>44747.0</v>
      </c>
      <c r="N599" s="1" t="s">
        <v>2066</v>
      </c>
    </row>
    <row r="600" hidden="1">
      <c r="A600" s="1" t="s">
        <v>202</v>
      </c>
      <c r="B600" s="1" t="s">
        <v>25</v>
      </c>
      <c r="C600" s="1" t="s">
        <v>2061</v>
      </c>
      <c r="D600" s="1" t="str">
        <f>Vlookup(C600,'Oil &amp; Gas Documents - Canada'!F:M,2,FALSE)</f>
        <v>#N/A</v>
      </c>
      <c r="E600" s="1" t="str">
        <f>Vlookup(C600,'Oil &amp; Gas Documents - Canada'!F:N,9,FALSE)</f>
        <v>#N/A</v>
      </c>
      <c r="F600" s="1" t="s">
        <v>2062</v>
      </c>
      <c r="G600" s="4" t="str">
        <f>HYPERLINK("http://nimonikapp.com/legislations/45","http://nimonikapp.com/legislations/45")</f>
        <v>http://nimonikapp.com/legislations/45</v>
      </c>
      <c r="H600" s="1" t="s">
        <v>18</v>
      </c>
      <c r="I600" s="1" t="s">
        <v>2344</v>
      </c>
      <c r="J600" s="1" t="s">
        <v>2345</v>
      </c>
      <c r="K600" s="5">
        <v>44714.0</v>
      </c>
      <c r="L600" s="5">
        <v>44714.0</v>
      </c>
      <c r="M600" s="5">
        <v>44747.0</v>
      </c>
      <c r="N600" s="1" t="s">
        <v>2063</v>
      </c>
    </row>
    <row r="601" hidden="1">
      <c r="A601" s="1" t="s">
        <v>202</v>
      </c>
      <c r="B601" s="1" t="s">
        <v>25</v>
      </c>
      <c r="C601" s="1" t="s">
        <v>2064</v>
      </c>
      <c r="D601" s="1" t="str">
        <f>Vlookup(C601,'Oil &amp; Gas Documents - Canada'!F:M,2,FALSE)</f>
        <v>#N/A</v>
      </c>
      <c r="E601" s="1" t="str">
        <f>Vlookup(C601,'Oil &amp; Gas Documents - Canada'!F:N,9,FALSE)</f>
        <v>#N/A</v>
      </c>
      <c r="F601" s="1" t="s">
        <v>2065</v>
      </c>
      <c r="G601" s="4" t="str">
        <f>HYPERLINK("http://nimonikapp.com/legislations/706","http://nimonikapp.com/legislations/706")</f>
        <v>http://nimonikapp.com/legislations/706</v>
      </c>
      <c r="H601" s="1" t="s">
        <v>18</v>
      </c>
      <c r="I601" s="1" t="s">
        <v>2344</v>
      </c>
      <c r="J601" s="1" t="s">
        <v>2345</v>
      </c>
      <c r="K601" s="5">
        <v>44714.0</v>
      </c>
      <c r="L601" s="5">
        <v>44714.0</v>
      </c>
      <c r="M601" s="5">
        <v>44747.0</v>
      </c>
      <c r="N601" s="1" t="s">
        <v>2066</v>
      </c>
    </row>
    <row r="602">
      <c r="A602" s="1" t="s">
        <v>24</v>
      </c>
      <c r="B602" s="1" t="s">
        <v>25</v>
      </c>
      <c r="C602" s="1" t="s">
        <v>382</v>
      </c>
      <c r="D602" s="1" t="s">
        <v>26</v>
      </c>
      <c r="E602" s="1" t="str">
        <f>Vlookup(C602,'Oil &amp; Gas Documents - Canada'!F:N,9,FALSE)</f>
        <v>#N/A</v>
      </c>
      <c r="F602" s="1" t="s">
        <v>381</v>
      </c>
      <c r="G602" s="4" t="str">
        <f>HYPERLINK("http://nimonikapp.com/legislations/14339","http://nimonikapp.com/legislations/14339")</f>
        <v>http://nimonikapp.com/legislations/14339</v>
      </c>
      <c r="H602" s="1" t="s">
        <v>18</v>
      </c>
      <c r="I602" s="1" t="s">
        <v>384</v>
      </c>
      <c r="J602" s="1" t="s">
        <v>385</v>
      </c>
      <c r="K602" s="5">
        <v>44740.0</v>
      </c>
      <c r="L602" s="5">
        <v>44835.0</v>
      </c>
      <c r="M602" s="5">
        <v>44746.0</v>
      </c>
      <c r="N602" s="1" t="s">
        <v>383</v>
      </c>
    </row>
    <row r="603" hidden="1">
      <c r="A603" s="1" t="s">
        <v>24</v>
      </c>
      <c r="B603" s="1" t="s">
        <v>25</v>
      </c>
      <c r="C603" s="1" t="s">
        <v>2346</v>
      </c>
      <c r="D603" s="1" t="str">
        <f>Vlookup(C603,'Oil &amp; Gas Documents - Canada'!F:M,2,FALSE)</f>
        <v>#N/A</v>
      </c>
      <c r="E603" s="1" t="str">
        <f>Vlookup(C603,'Oil &amp; Gas Documents - Canada'!F:N,9,FALSE)</f>
        <v>#N/A</v>
      </c>
      <c r="F603" s="1" t="s">
        <v>2347</v>
      </c>
      <c r="G603" s="4" t="str">
        <f>HYPERLINK("http://nimonikapp.com/legislations/14322","http://nimonikapp.com/legislations/14322")</f>
        <v>http://nimonikapp.com/legislations/14322</v>
      </c>
      <c r="H603" s="1" t="s">
        <v>18</v>
      </c>
      <c r="I603" s="1" t="s">
        <v>2348</v>
      </c>
      <c r="J603" s="1" t="s">
        <v>2349</v>
      </c>
      <c r="K603" s="5">
        <v>44740.0</v>
      </c>
      <c r="L603" s="5">
        <v>44739.0</v>
      </c>
      <c r="M603" s="5">
        <v>44746.0</v>
      </c>
      <c r="N603" s="1" t="s">
        <v>2350</v>
      </c>
    </row>
    <row r="604" hidden="1">
      <c r="A604" s="1" t="s">
        <v>24</v>
      </c>
      <c r="B604" s="1" t="s">
        <v>25</v>
      </c>
      <c r="C604" s="1" t="s">
        <v>2351</v>
      </c>
      <c r="D604" s="1" t="str">
        <f>Vlookup(C604,'Oil &amp; Gas Documents - Canada'!F:M,2,FALSE)</f>
        <v>#N/A</v>
      </c>
      <c r="E604" s="1" t="str">
        <f>Vlookup(C604,'Oil &amp; Gas Documents - Canada'!F:N,9,FALSE)</f>
        <v>#N/A</v>
      </c>
      <c r="F604" s="1" t="s">
        <v>2352</v>
      </c>
      <c r="G604" s="4" t="str">
        <f>HYPERLINK("http://nimonikapp.com/legislations/117062","http://nimonikapp.com/legislations/117062")</f>
        <v>http://nimonikapp.com/legislations/117062</v>
      </c>
      <c r="H604" s="1" t="s">
        <v>18</v>
      </c>
      <c r="I604" s="1" t="s">
        <v>2348</v>
      </c>
      <c r="J604" s="1" t="s">
        <v>2349</v>
      </c>
      <c r="K604" s="5">
        <v>44740.0</v>
      </c>
      <c r="L604" s="5">
        <v>44739.0</v>
      </c>
      <c r="M604" s="5">
        <v>44746.0</v>
      </c>
      <c r="N604" s="1" t="s">
        <v>2353</v>
      </c>
    </row>
    <row r="605" hidden="1">
      <c r="A605" s="1" t="s">
        <v>24</v>
      </c>
      <c r="B605" s="1" t="s">
        <v>25</v>
      </c>
      <c r="C605" s="1" t="s">
        <v>2354</v>
      </c>
      <c r="D605" s="1" t="str">
        <f>Vlookup(C605,'Oil &amp; Gas Documents - Canada'!F:M,2,FALSE)</f>
        <v>#N/A</v>
      </c>
      <c r="E605" s="1" t="str">
        <f>Vlookup(C605,'Oil &amp; Gas Documents - Canada'!F:N,9,FALSE)</f>
        <v>#N/A</v>
      </c>
      <c r="F605" s="1" t="s">
        <v>2355</v>
      </c>
      <c r="G605" s="4" t="str">
        <f>HYPERLINK("http://nimonikapp.com/legislations/117066","http://nimonikapp.com/legislations/117066")</f>
        <v>http://nimonikapp.com/legislations/117066</v>
      </c>
      <c r="H605" s="1" t="s">
        <v>18</v>
      </c>
      <c r="I605" s="1" t="s">
        <v>2348</v>
      </c>
      <c r="J605" s="1" t="s">
        <v>2349</v>
      </c>
      <c r="K605" s="5">
        <v>44740.0</v>
      </c>
      <c r="L605" s="5">
        <v>44739.0</v>
      </c>
      <c r="M605" s="5">
        <v>44746.0</v>
      </c>
      <c r="N605" s="1" t="s">
        <v>2356</v>
      </c>
    </row>
    <row r="606" hidden="1">
      <c r="A606" s="1" t="s">
        <v>24</v>
      </c>
      <c r="B606" s="1" t="s">
        <v>25</v>
      </c>
      <c r="C606" s="1" t="s">
        <v>2357</v>
      </c>
      <c r="D606" s="1" t="str">
        <f>Vlookup(C606,'Oil &amp; Gas Documents - Canada'!F:M,2,FALSE)</f>
        <v>#N/A</v>
      </c>
      <c r="E606" s="1" t="str">
        <f>Vlookup(C606,'Oil &amp; Gas Documents - Canada'!F:N,9,FALSE)</f>
        <v>#N/A</v>
      </c>
      <c r="F606" s="1" t="s">
        <v>2358</v>
      </c>
      <c r="G606" s="4" t="str">
        <f>HYPERLINK("http://nimonikapp.com/legislations/14321","http://nimonikapp.com/legislations/14321")</f>
        <v>http://nimonikapp.com/legislations/14321</v>
      </c>
      <c r="H606" s="1" t="s">
        <v>18</v>
      </c>
      <c r="I606" s="1" t="s">
        <v>2348</v>
      </c>
      <c r="J606" s="1" t="s">
        <v>2349</v>
      </c>
      <c r="K606" s="5">
        <v>44740.0</v>
      </c>
      <c r="L606" s="5">
        <v>44739.0</v>
      </c>
      <c r="M606" s="5">
        <v>44746.0</v>
      </c>
      <c r="N606" s="1" t="s">
        <v>2359</v>
      </c>
    </row>
    <row r="607" hidden="1">
      <c r="A607" s="1" t="s">
        <v>24</v>
      </c>
      <c r="B607" s="1" t="s">
        <v>25</v>
      </c>
      <c r="C607" s="1" t="s">
        <v>2360</v>
      </c>
      <c r="D607" s="1" t="str">
        <f>Vlookup(C607,'Oil &amp; Gas Documents - Canada'!F:M,2,FALSE)</f>
        <v>#N/A</v>
      </c>
      <c r="E607" s="1" t="str">
        <f>Vlookup(C607,'Oil &amp; Gas Documents - Canada'!F:N,9,FALSE)</f>
        <v>#N/A</v>
      </c>
      <c r="F607" s="1" t="s">
        <v>2361</v>
      </c>
      <c r="G607" s="4" t="str">
        <f>HYPERLINK("http://nimonikapp.com/legislations/117059","http://nimonikapp.com/legislations/117059")</f>
        <v>http://nimonikapp.com/legislations/117059</v>
      </c>
      <c r="H607" s="1" t="s">
        <v>18</v>
      </c>
      <c r="I607" s="1" t="s">
        <v>2348</v>
      </c>
      <c r="J607" s="1" t="s">
        <v>2349</v>
      </c>
      <c r="K607" s="5">
        <v>44740.0</v>
      </c>
      <c r="L607" s="5">
        <v>44739.0</v>
      </c>
      <c r="M607" s="5">
        <v>44746.0</v>
      </c>
      <c r="N607" s="1" t="s">
        <v>2362</v>
      </c>
    </row>
    <row r="608" hidden="1">
      <c r="A608" s="1" t="s">
        <v>24</v>
      </c>
      <c r="B608" s="1" t="s">
        <v>25</v>
      </c>
      <c r="C608" s="1" t="s">
        <v>2363</v>
      </c>
      <c r="D608" s="1" t="str">
        <f>Vlookup(C608,'Oil &amp; Gas Documents - Canada'!F:M,2,FALSE)</f>
        <v>#N/A</v>
      </c>
      <c r="E608" s="1" t="str">
        <f>Vlookup(C608,'Oil &amp; Gas Documents - Canada'!F:N,9,FALSE)</f>
        <v>#N/A</v>
      </c>
      <c r="F608" s="1" t="s">
        <v>2364</v>
      </c>
      <c r="G608" s="4" t="str">
        <f>HYPERLINK("http://nimonikapp.com/legislations/117063","http://nimonikapp.com/legislations/117063")</f>
        <v>http://nimonikapp.com/legislations/117063</v>
      </c>
      <c r="H608" s="1" t="s">
        <v>18</v>
      </c>
      <c r="I608" s="1" t="s">
        <v>2348</v>
      </c>
      <c r="J608" s="1" t="s">
        <v>2349</v>
      </c>
      <c r="K608" s="5">
        <v>44740.0</v>
      </c>
      <c r="L608" s="5">
        <v>44739.0</v>
      </c>
      <c r="M608" s="5">
        <v>44746.0</v>
      </c>
      <c r="N608" s="1" t="s">
        <v>2365</v>
      </c>
    </row>
    <row r="609" hidden="1">
      <c r="A609" s="1" t="s">
        <v>24</v>
      </c>
      <c r="B609" s="1" t="s">
        <v>25</v>
      </c>
      <c r="C609" s="1" t="s">
        <v>2357</v>
      </c>
      <c r="D609" s="1" t="str">
        <f>Vlookup(C609,'Oil &amp; Gas Documents - Canada'!F:M,2,FALSE)</f>
        <v>#N/A</v>
      </c>
      <c r="E609" s="1" t="str">
        <f>Vlookup(C609,'Oil &amp; Gas Documents - Canada'!F:N,9,FALSE)</f>
        <v>#N/A</v>
      </c>
      <c r="F609" s="1" t="s">
        <v>2358</v>
      </c>
      <c r="G609" s="4" t="str">
        <f>HYPERLINK("http://nimonikapp.com/legislations/14321","http://nimonikapp.com/legislations/14321")</f>
        <v>http://nimonikapp.com/legislations/14321</v>
      </c>
      <c r="H609" s="1" t="s">
        <v>18</v>
      </c>
      <c r="I609" s="1" t="s">
        <v>2366</v>
      </c>
      <c r="J609" s="1" t="s">
        <v>2367</v>
      </c>
      <c r="K609" s="5">
        <v>44740.0</v>
      </c>
      <c r="L609" s="5">
        <v>44735.0</v>
      </c>
      <c r="M609" s="5">
        <v>44746.0</v>
      </c>
      <c r="N609" s="1" t="s">
        <v>2359</v>
      </c>
    </row>
    <row r="610" hidden="1">
      <c r="A610" s="1" t="s">
        <v>24</v>
      </c>
      <c r="B610" s="1" t="s">
        <v>25</v>
      </c>
      <c r="C610" s="1" t="s">
        <v>2368</v>
      </c>
      <c r="D610" s="1" t="str">
        <f>Vlookup(C610,'Oil &amp; Gas Documents - Canada'!F:M,2,FALSE)</f>
        <v>#N/A</v>
      </c>
      <c r="E610" s="1" t="str">
        <f>Vlookup(C610,'Oil &amp; Gas Documents - Canada'!F:N,9,FALSE)</f>
        <v>#N/A</v>
      </c>
      <c r="F610" s="1" t="s">
        <v>2369</v>
      </c>
      <c r="G610" s="4" t="str">
        <f>HYPERLINK("http://nimonikapp.com/legislations/4091","http://nimonikapp.com/legislations/4091")</f>
        <v>http://nimonikapp.com/legislations/4091</v>
      </c>
      <c r="H610" s="1" t="s">
        <v>18</v>
      </c>
      <c r="I610" s="1" t="s">
        <v>2370</v>
      </c>
      <c r="J610" s="1" t="s">
        <v>2371</v>
      </c>
      <c r="K610" s="5">
        <v>44740.0</v>
      </c>
      <c r="M610" s="5">
        <v>44746.0</v>
      </c>
    </row>
    <row r="611" hidden="1">
      <c r="A611" s="1" t="s">
        <v>221</v>
      </c>
      <c r="B611" s="1" t="s">
        <v>15</v>
      </c>
      <c r="C611" s="1" t="s">
        <v>2372</v>
      </c>
      <c r="D611" s="1" t="str">
        <f>Vlookup(C611,'Oil &amp; Gas Documents - Canada'!F:M,2,FALSE)</f>
        <v>#N/A</v>
      </c>
      <c r="E611" s="1" t="str">
        <f>Vlookup(C611,'Oil &amp; Gas Documents - Canada'!F:N,9,FALSE)</f>
        <v>#N/A</v>
      </c>
      <c r="F611" s="1" t="s">
        <v>2373</v>
      </c>
      <c r="G611" s="4" t="str">
        <f>HYPERLINK("http://nimonikapp.com/legislations/356055","http://nimonikapp.com/legislations/356055")</f>
        <v>http://nimonikapp.com/legislations/356055</v>
      </c>
      <c r="H611" s="1" t="s">
        <v>18</v>
      </c>
      <c r="K611" s="5">
        <v>44736.0</v>
      </c>
      <c r="L611" s="5">
        <v>44760.0</v>
      </c>
      <c r="M611" s="5">
        <v>44741.0</v>
      </c>
    </row>
    <row r="612" hidden="1">
      <c r="A612" s="1" t="s">
        <v>202</v>
      </c>
      <c r="B612" s="1" t="s">
        <v>15</v>
      </c>
      <c r="C612" s="1" t="s">
        <v>2374</v>
      </c>
      <c r="D612" s="1" t="str">
        <f>Vlookup(C612,'Oil &amp; Gas Documents - Canada'!F:M,2,FALSE)</f>
        <v>#N/A</v>
      </c>
      <c r="E612" s="1" t="str">
        <f>Vlookup(C612,'Oil &amp; Gas Documents - Canada'!F:N,9,FALSE)</f>
        <v>#N/A</v>
      </c>
      <c r="F612" s="1" t="s">
        <v>2375</v>
      </c>
      <c r="G612" s="4" t="str">
        <f>HYPERLINK("http://nimonikapp.com/legislations/356067","http://nimonikapp.com/legislations/356067")</f>
        <v>http://nimonikapp.com/legislations/356067</v>
      </c>
      <c r="H612" s="1" t="s">
        <v>18</v>
      </c>
      <c r="K612" s="5">
        <v>44741.0</v>
      </c>
      <c r="L612" s="5">
        <v>44741.0</v>
      </c>
      <c r="M612" s="5">
        <v>44741.0</v>
      </c>
    </row>
    <row r="613" hidden="1">
      <c r="A613" s="1" t="s">
        <v>202</v>
      </c>
      <c r="B613" s="1" t="s">
        <v>15</v>
      </c>
      <c r="C613" s="1" t="s">
        <v>2376</v>
      </c>
      <c r="D613" s="1" t="str">
        <f>Vlookup(C613,'Oil &amp; Gas Documents - Canada'!F:M,2,FALSE)</f>
        <v>#N/A</v>
      </c>
      <c r="E613" s="1" t="str">
        <f>Vlookup(C613,'Oil &amp; Gas Documents - Canada'!F:N,9,FALSE)</f>
        <v>#N/A</v>
      </c>
      <c r="F613" s="1" t="s">
        <v>2377</v>
      </c>
      <c r="G613" s="4" t="str">
        <f>HYPERLINK("http://nimonikapp.com/legislations/356066","http://nimonikapp.com/legislations/356066")</f>
        <v>http://nimonikapp.com/legislations/356066</v>
      </c>
      <c r="H613" s="1" t="s">
        <v>18</v>
      </c>
      <c r="K613" s="5">
        <v>44741.0</v>
      </c>
      <c r="L613" s="5">
        <v>44741.0</v>
      </c>
      <c r="M613" s="5">
        <v>44741.0</v>
      </c>
    </row>
    <row r="614" hidden="1">
      <c r="A614" s="1" t="s">
        <v>202</v>
      </c>
      <c r="B614" s="1" t="s">
        <v>15</v>
      </c>
      <c r="C614" s="1" t="s">
        <v>2378</v>
      </c>
      <c r="D614" s="1" t="str">
        <f>Vlookup(C614,'Oil &amp; Gas Documents - Canada'!F:M,2,FALSE)</f>
        <v>#N/A</v>
      </c>
      <c r="E614" s="1" t="str">
        <f>Vlookup(C614,'Oil &amp; Gas Documents - Canada'!F:N,9,FALSE)</f>
        <v>#N/A</v>
      </c>
      <c r="F614" s="1" t="s">
        <v>2379</v>
      </c>
      <c r="G614" s="4" t="str">
        <f>HYPERLINK("http://nimonikapp.com/legislations/356065","http://nimonikapp.com/legislations/356065")</f>
        <v>http://nimonikapp.com/legislations/356065</v>
      </c>
      <c r="H614" s="1" t="s">
        <v>18</v>
      </c>
      <c r="K614" s="5">
        <v>44741.0</v>
      </c>
      <c r="L614" s="5">
        <v>44741.0</v>
      </c>
      <c r="M614" s="5">
        <v>44741.0</v>
      </c>
    </row>
    <row r="615" hidden="1">
      <c r="A615" s="1" t="s">
        <v>202</v>
      </c>
      <c r="B615" s="1" t="s">
        <v>15</v>
      </c>
      <c r="C615" s="1" t="s">
        <v>2380</v>
      </c>
      <c r="D615" s="1" t="str">
        <f>Vlookup(C615,'Oil &amp; Gas Documents - Canada'!F:M,2,FALSE)</f>
        <v>#N/A</v>
      </c>
      <c r="E615" s="1" t="str">
        <f>Vlookup(C615,'Oil &amp; Gas Documents - Canada'!F:N,9,FALSE)</f>
        <v>#N/A</v>
      </c>
      <c r="F615" s="1" t="s">
        <v>2381</v>
      </c>
      <c r="G615" s="4" t="str">
        <f>HYPERLINK("http://nimonikapp.com/legislations/356064","http://nimonikapp.com/legislations/356064")</f>
        <v>http://nimonikapp.com/legislations/356064</v>
      </c>
      <c r="H615" s="1" t="s">
        <v>18</v>
      </c>
      <c r="K615" s="5">
        <v>44741.0</v>
      </c>
      <c r="L615" s="5">
        <v>44741.0</v>
      </c>
      <c r="M615" s="5">
        <v>44741.0</v>
      </c>
    </row>
    <row r="616" hidden="1">
      <c r="A616" s="1" t="s">
        <v>202</v>
      </c>
      <c r="B616" s="1" t="s">
        <v>15</v>
      </c>
      <c r="C616" s="1" t="s">
        <v>2382</v>
      </c>
      <c r="D616" s="1" t="str">
        <f>Vlookup(C616,'Oil &amp; Gas Documents - Canada'!F:M,2,FALSE)</f>
        <v>#N/A</v>
      </c>
      <c r="E616" s="1" t="str">
        <f>Vlookup(C616,'Oil &amp; Gas Documents - Canada'!F:N,9,FALSE)</f>
        <v>#N/A</v>
      </c>
      <c r="F616" s="1" t="s">
        <v>2383</v>
      </c>
      <c r="G616" s="4" t="str">
        <f>HYPERLINK("http://nimonikapp.com/legislations/356063","http://nimonikapp.com/legislations/356063")</f>
        <v>http://nimonikapp.com/legislations/356063</v>
      </c>
      <c r="H616" s="1" t="s">
        <v>18</v>
      </c>
      <c r="K616" s="5">
        <v>44741.0</v>
      </c>
      <c r="L616" s="5">
        <v>44741.0</v>
      </c>
      <c r="M616" s="5">
        <v>44741.0</v>
      </c>
    </row>
    <row r="617" hidden="1">
      <c r="A617" s="1" t="s">
        <v>202</v>
      </c>
      <c r="B617" s="1" t="s">
        <v>15</v>
      </c>
      <c r="C617" s="1" t="s">
        <v>2384</v>
      </c>
      <c r="D617" s="1" t="str">
        <f>Vlookup(C617,'Oil &amp; Gas Documents - Canada'!F:M,2,FALSE)</f>
        <v>#N/A</v>
      </c>
      <c r="E617" s="1" t="str">
        <f>Vlookup(C617,'Oil &amp; Gas Documents - Canada'!F:N,9,FALSE)</f>
        <v>#N/A</v>
      </c>
      <c r="F617" s="1" t="s">
        <v>2385</v>
      </c>
      <c r="G617" s="4" t="str">
        <f>HYPERLINK("http://nimonikapp.com/legislations/356062","http://nimonikapp.com/legislations/356062")</f>
        <v>http://nimonikapp.com/legislations/356062</v>
      </c>
      <c r="H617" s="1" t="s">
        <v>18</v>
      </c>
      <c r="K617" s="5">
        <v>44741.0</v>
      </c>
      <c r="L617" s="5">
        <v>44741.0</v>
      </c>
      <c r="M617" s="5">
        <v>44741.0</v>
      </c>
    </row>
    <row r="618" hidden="1">
      <c r="A618" s="1" t="s">
        <v>202</v>
      </c>
      <c r="B618" s="1" t="s">
        <v>15</v>
      </c>
      <c r="C618" s="1" t="s">
        <v>2386</v>
      </c>
      <c r="D618" s="1" t="str">
        <f>Vlookup(C618,'Oil &amp; Gas Documents - Canada'!F:M,2,FALSE)</f>
        <v>#N/A</v>
      </c>
      <c r="E618" s="1" t="str">
        <f>Vlookup(C618,'Oil &amp; Gas Documents - Canada'!F:N,9,FALSE)</f>
        <v>#N/A</v>
      </c>
      <c r="F618" s="1" t="s">
        <v>2387</v>
      </c>
      <c r="G618" s="4" t="str">
        <f>HYPERLINK("http://nimonikapp.com/legislations/356061","http://nimonikapp.com/legislations/356061")</f>
        <v>http://nimonikapp.com/legislations/356061</v>
      </c>
      <c r="H618" s="1" t="s">
        <v>18</v>
      </c>
      <c r="K618" s="5">
        <v>44741.0</v>
      </c>
      <c r="L618" s="5">
        <v>44741.0</v>
      </c>
      <c r="M618" s="5">
        <v>44741.0</v>
      </c>
    </row>
    <row r="619" hidden="1">
      <c r="A619" s="1" t="s">
        <v>202</v>
      </c>
      <c r="B619" s="1" t="s">
        <v>15</v>
      </c>
      <c r="C619" s="1" t="s">
        <v>2388</v>
      </c>
      <c r="D619" s="1" t="str">
        <f>Vlookup(C619,'Oil &amp; Gas Documents - Canada'!F:M,2,FALSE)</f>
        <v>#N/A</v>
      </c>
      <c r="E619" s="1" t="str">
        <f>Vlookup(C619,'Oil &amp; Gas Documents - Canada'!F:N,9,FALSE)</f>
        <v>#N/A</v>
      </c>
      <c r="F619" s="1" t="s">
        <v>2389</v>
      </c>
      <c r="G619" s="4" t="str">
        <f>HYPERLINK("http://nimonikapp.com/legislations/356060","http://nimonikapp.com/legislations/356060")</f>
        <v>http://nimonikapp.com/legislations/356060</v>
      </c>
      <c r="H619" s="1" t="s">
        <v>18</v>
      </c>
      <c r="K619" s="5">
        <v>44741.0</v>
      </c>
      <c r="L619" s="5">
        <v>44741.0</v>
      </c>
      <c r="M619" s="5">
        <v>44741.0</v>
      </c>
    </row>
    <row r="620" hidden="1">
      <c r="A620" s="1" t="s">
        <v>202</v>
      </c>
      <c r="B620" s="1" t="s">
        <v>15</v>
      </c>
      <c r="C620" s="1" t="s">
        <v>2390</v>
      </c>
      <c r="D620" s="1" t="str">
        <f>Vlookup(C620,'Oil &amp; Gas Documents - Canada'!F:M,2,FALSE)</f>
        <v>#N/A</v>
      </c>
      <c r="E620" s="1" t="str">
        <f>Vlookup(C620,'Oil &amp; Gas Documents - Canada'!F:N,9,FALSE)</f>
        <v>#N/A</v>
      </c>
      <c r="F620" s="1" t="s">
        <v>2391</v>
      </c>
      <c r="G620" s="4" t="str">
        <f>HYPERLINK("http://nimonikapp.com/legislations/356059","http://nimonikapp.com/legislations/356059")</f>
        <v>http://nimonikapp.com/legislations/356059</v>
      </c>
      <c r="H620" s="1" t="s">
        <v>18</v>
      </c>
      <c r="K620" s="5">
        <v>44741.0</v>
      </c>
      <c r="L620" s="5">
        <v>44741.0</v>
      </c>
      <c r="M620" s="5">
        <v>44741.0</v>
      </c>
    </row>
    <row r="621" hidden="1">
      <c r="A621" s="1" t="s">
        <v>202</v>
      </c>
      <c r="B621" s="1" t="s">
        <v>15</v>
      </c>
      <c r="C621" s="1" t="s">
        <v>2392</v>
      </c>
      <c r="D621" s="1" t="str">
        <f>Vlookup(C621,'Oil &amp; Gas Documents - Canada'!F:M,2,FALSE)</f>
        <v>#N/A</v>
      </c>
      <c r="E621" s="1" t="str">
        <f>Vlookup(C621,'Oil &amp; Gas Documents - Canada'!F:N,9,FALSE)</f>
        <v>#N/A</v>
      </c>
      <c r="F621" s="1" t="s">
        <v>2393</v>
      </c>
      <c r="G621" s="4" t="str">
        <f>HYPERLINK("http://nimonikapp.com/legislations/356058","http://nimonikapp.com/legislations/356058")</f>
        <v>http://nimonikapp.com/legislations/356058</v>
      </c>
      <c r="H621" s="1" t="s">
        <v>18</v>
      </c>
      <c r="K621" s="5">
        <v>44741.0</v>
      </c>
      <c r="L621" s="5">
        <v>44741.0</v>
      </c>
      <c r="M621" s="5">
        <v>44741.0</v>
      </c>
    </row>
    <row r="622" hidden="1">
      <c r="A622" s="1" t="s">
        <v>202</v>
      </c>
      <c r="B622" s="1" t="s">
        <v>15</v>
      </c>
      <c r="C622" s="1" t="s">
        <v>2394</v>
      </c>
      <c r="D622" s="1" t="str">
        <f>Vlookup(C622,'Oil &amp; Gas Documents - Canada'!F:M,2,FALSE)</f>
        <v>#N/A</v>
      </c>
      <c r="E622" s="1" t="str">
        <f>Vlookup(C622,'Oil &amp; Gas Documents - Canada'!F:N,9,FALSE)</f>
        <v>#N/A</v>
      </c>
      <c r="F622" s="1" t="s">
        <v>2395</v>
      </c>
      <c r="G622" s="4" t="str">
        <f>HYPERLINK("http://nimonikapp.com/legislations/356057","http://nimonikapp.com/legislations/356057")</f>
        <v>http://nimonikapp.com/legislations/356057</v>
      </c>
      <c r="H622" s="1" t="s">
        <v>18</v>
      </c>
      <c r="K622" s="5">
        <v>44741.0</v>
      </c>
      <c r="L622" s="5">
        <v>44741.0</v>
      </c>
      <c r="M622" s="5">
        <v>44741.0</v>
      </c>
    </row>
    <row r="623" hidden="1">
      <c r="A623" s="1" t="s">
        <v>202</v>
      </c>
      <c r="B623" s="1" t="s">
        <v>15</v>
      </c>
      <c r="C623" s="1" t="s">
        <v>2396</v>
      </c>
      <c r="D623" s="1" t="str">
        <f>Vlookup(C623,'Oil &amp; Gas Documents - Canada'!F:M,2,FALSE)</f>
        <v>#N/A</v>
      </c>
      <c r="E623" s="1" t="str">
        <f>Vlookup(C623,'Oil &amp; Gas Documents - Canada'!F:N,9,FALSE)</f>
        <v>#N/A</v>
      </c>
      <c r="F623" s="1" t="s">
        <v>2397</v>
      </c>
      <c r="G623" s="4" t="str">
        <f>HYPERLINK("http://nimonikapp.com/legislations/356029","http://nimonikapp.com/legislations/356029")</f>
        <v>http://nimonikapp.com/legislations/356029</v>
      </c>
      <c r="H623" s="1" t="s">
        <v>69</v>
      </c>
      <c r="K623" s="5">
        <v>44741.0</v>
      </c>
      <c r="M623" s="5">
        <v>44741.0</v>
      </c>
    </row>
    <row r="624" hidden="1">
      <c r="A624" s="1" t="s">
        <v>73</v>
      </c>
      <c r="B624" s="1" t="s">
        <v>15</v>
      </c>
      <c r="C624" s="1" t="s">
        <v>2398</v>
      </c>
      <c r="D624" s="1" t="str">
        <f>Vlookup(C624,'Oil &amp; Gas Documents - Canada'!F:M,2,FALSE)</f>
        <v>#N/A</v>
      </c>
      <c r="E624" s="1" t="str">
        <f>Vlookup(C624,'Oil &amp; Gas Documents - Canada'!F:N,9,FALSE)</f>
        <v>#N/A</v>
      </c>
      <c r="F624" s="1" t="s">
        <v>2399</v>
      </c>
      <c r="G624" s="4" t="str">
        <f>HYPERLINK("http://nimonikapp.com/legislations/356007","http://nimonikapp.com/legislations/356007")</f>
        <v>http://nimonikapp.com/legislations/356007</v>
      </c>
      <c r="H624" s="1" t="s">
        <v>52</v>
      </c>
      <c r="K624" s="5">
        <v>44735.0</v>
      </c>
      <c r="L624" s="5">
        <v>44927.0</v>
      </c>
      <c r="M624" s="5">
        <v>44741.0</v>
      </c>
    </row>
    <row r="625" hidden="1">
      <c r="A625" s="1" t="s">
        <v>73</v>
      </c>
      <c r="B625" s="1" t="s">
        <v>352</v>
      </c>
      <c r="C625" s="1" t="s">
        <v>2400</v>
      </c>
      <c r="D625" s="1" t="str">
        <f>Vlookup(C625,'Oil &amp; Gas Documents - Canada'!F:M,2,FALSE)</f>
        <v>#N/A</v>
      </c>
      <c r="E625" s="1" t="str">
        <f>Vlookup(C625,'Oil &amp; Gas Documents - Canada'!F:N,9,FALSE)</f>
        <v>#N/A</v>
      </c>
      <c r="F625" s="1" t="s">
        <v>2401</v>
      </c>
      <c r="G625" s="4" t="str">
        <f>HYPERLINK("http://nimonikapp.com/legislations/4022","http://nimonikapp.com/legislations/4022")</f>
        <v>http://nimonikapp.com/legislations/4022</v>
      </c>
      <c r="H625" s="1" t="s">
        <v>356</v>
      </c>
      <c r="I625" s="1" t="s">
        <v>2402</v>
      </c>
      <c r="J625" s="1" t="s">
        <v>2403</v>
      </c>
      <c r="K625" s="5">
        <v>44735.0</v>
      </c>
      <c r="L625" s="5">
        <v>43831.0</v>
      </c>
      <c r="M625" s="5">
        <v>44741.0</v>
      </c>
      <c r="N625" s="1" t="s">
        <v>2404</v>
      </c>
    </row>
    <row r="626" hidden="1">
      <c r="A626" s="1" t="s">
        <v>73</v>
      </c>
      <c r="B626" s="1" t="s">
        <v>25</v>
      </c>
      <c r="C626" s="1" t="s">
        <v>2405</v>
      </c>
      <c r="D626" s="1" t="str">
        <f>Vlookup(C626,'Oil &amp; Gas Documents - Canada'!F:M,2,FALSE)</f>
        <v>#N/A</v>
      </c>
      <c r="E626" s="1" t="str">
        <f>Vlookup(C626,'Oil &amp; Gas Documents - Canada'!F:N,9,FALSE)</f>
        <v>#N/A</v>
      </c>
      <c r="F626" s="1" t="s">
        <v>2406</v>
      </c>
      <c r="G626" s="4" t="str">
        <f>HYPERLINK("http://nimonikapp.com/legislations/319432","http://nimonikapp.com/legislations/319432")</f>
        <v>http://nimonikapp.com/legislations/319432</v>
      </c>
      <c r="H626" s="1" t="s">
        <v>18</v>
      </c>
      <c r="I626" s="1" t="s">
        <v>2402</v>
      </c>
      <c r="J626" s="1" t="s">
        <v>2403</v>
      </c>
      <c r="K626" s="5">
        <v>44735.0</v>
      </c>
      <c r="L626" s="5">
        <v>43831.0</v>
      </c>
      <c r="M626" s="5">
        <v>44741.0</v>
      </c>
      <c r="N626" s="1" t="s">
        <v>2407</v>
      </c>
    </row>
    <row r="627" hidden="1">
      <c r="A627" s="1" t="s">
        <v>73</v>
      </c>
      <c r="B627" s="1" t="s">
        <v>25</v>
      </c>
      <c r="C627" s="1" t="s">
        <v>2408</v>
      </c>
      <c r="D627" s="1" t="str">
        <f>Vlookup(C627,'Oil &amp; Gas Documents - Canada'!F:M,2,FALSE)</f>
        <v>#N/A</v>
      </c>
      <c r="E627" s="1" t="str">
        <f>Vlookup(C627,'Oil &amp; Gas Documents - Canada'!F:N,9,FALSE)</f>
        <v>#N/A</v>
      </c>
      <c r="F627" s="1" t="s">
        <v>2409</v>
      </c>
      <c r="G627" s="4" t="str">
        <f>HYPERLINK("http://nimonikapp.com/legislations/319371","http://nimonikapp.com/legislations/319371")</f>
        <v>http://nimonikapp.com/legislations/319371</v>
      </c>
      <c r="H627" s="1" t="s">
        <v>18</v>
      </c>
      <c r="I627" s="1" t="s">
        <v>2402</v>
      </c>
      <c r="J627" s="1" t="s">
        <v>2403</v>
      </c>
      <c r="K627" s="5">
        <v>44735.0</v>
      </c>
      <c r="L627" s="5">
        <v>43831.0</v>
      </c>
      <c r="M627" s="5">
        <v>44741.0</v>
      </c>
      <c r="N627" s="1" t="s">
        <v>2410</v>
      </c>
    </row>
    <row r="628" hidden="1">
      <c r="A628" s="1" t="s">
        <v>73</v>
      </c>
      <c r="B628" s="1" t="s">
        <v>25</v>
      </c>
      <c r="C628" s="1" t="s">
        <v>2411</v>
      </c>
      <c r="D628" s="1" t="str">
        <f>Vlookup(C628,'Oil &amp; Gas Documents - Canada'!F:M,2,FALSE)</f>
        <v>#N/A</v>
      </c>
      <c r="E628" s="1" t="str">
        <f>Vlookup(C628,'Oil &amp; Gas Documents - Canada'!F:N,9,FALSE)</f>
        <v>#N/A</v>
      </c>
      <c r="F628" s="1" t="s">
        <v>2412</v>
      </c>
      <c r="G628" s="4" t="str">
        <f>HYPERLINK("http://nimonikapp.com/legislations/80","http://nimonikapp.com/legislations/80")</f>
        <v>http://nimonikapp.com/legislations/80</v>
      </c>
      <c r="H628" s="1" t="s">
        <v>18</v>
      </c>
      <c r="I628" s="1" t="s">
        <v>2402</v>
      </c>
      <c r="J628" s="1" t="s">
        <v>2403</v>
      </c>
      <c r="K628" s="5">
        <v>44735.0</v>
      </c>
      <c r="L628" s="5">
        <v>43831.0</v>
      </c>
      <c r="M628" s="5">
        <v>44741.0</v>
      </c>
      <c r="N628" s="1" t="s">
        <v>2413</v>
      </c>
    </row>
    <row r="629" hidden="1">
      <c r="A629" s="1" t="s">
        <v>73</v>
      </c>
      <c r="B629" s="1" t="s">
        <v>25</v>
      </c>
      <c r="C629" s="1" t="s">
        <v>2414</v>
      </c>
      <c r="D629" s="1" t="str">
        <f>Vlookup(C629,'Oil &amp; Gas Documents - Canada'!F:M,2,FALSE)</f>
        <v>#N/A</v>
      </c>
      <c r="E629" s="1" t="str">
        <f>Vlookup(C629,'Oil &amp; Gas Documents - Canada'!F:N,9,FALSE)</f>
        <v>#N/A</v>
      </c>
      <c r="F629" s="1" t="s">
        <v>2415</v>
      </c>
      <c r="G629" s="4" t="str">
        <f>HYPERLINK("http://nimonikapp.com/legislations/319377","http://nimonikapp.com/legislations/319377")</f>
        <v>http://nimonikapp.com/legislations/319377</v>
      </c>
      <c r="H629" s="1" t="s">
        <v>18</v>
      </c>
      <c r="I629" s="1" t="s">
        <v>2402</v>
      </c>
      <c r="J629" s="1" t="s">
        <v>2403</v>
      </c>
      <c r="K629" s="5">
        <v>44735.0</v>
      </c>
      <c r="L629" s="5">
        <v>43831.0</v>
      </c>
      <c r="M629" s="5">
        <v>44741.0</v>
      </c>
    </row>
    <row r="630" hidden="1">
      <c r="A630" s="1" t="s">
        <v>73</v>
      </c>
      <c r="B630" s="1" t="s">
        <v>25</v>
      </c>
      <c r="C630" s="1" t="s">
        <v>2416</v>
      </c>
      <c r="D630" s="1" t="str">
        <f>Vlookup(C630,'Oil &amp; Gas Documents - Canada'!F:M,2,FALSE)</f>
        <v>#N/A</v>
      </c>
      <c r="E630" s="1" t="str">
        <f>Vlookup(C630,'Oil &amp; Gas Documents - Canada'!F:N,9,FALSE)</f>
        <v>#N/A</v>
      </c>
      <c r="F630" s="1" t="s">
        <v>2417</v>
      </c>
      <c r="G630" s="4" t="str">
        <f>HYPERLINK("http://nimonikapp.com/legislations/319393","http://nimonikapp.com/legislations/319393")</f>
        <v>http://nimonikapp.com/legislations/319393</v>
      </c>
      <c r="H630" s="1" t="s">
        <v>18</v>
      </c>
      <c r="I630" s="1" t="s">
        <v>2402</v>
      </c>
      <c r="J630" s="1" t="s">
        <v>2403</v>
      </c>
      <c r="K630" s="5">
        <v>44735.0</v>
      </c>
      <c r="L630" s="5">
        <v>43831.0</v>
      </c>
      <c r="M630" s="5">
        <v>44741.0</v>
      </c>
      <c r="N630" s="1" t="s">
        <v>2418</v>
      </c>
    </row>
    <row r="631" hidden="1">
      <c r="A631" s="1" t="s">
        <v>73</v>
      </c>
      <c r="B631" s="1" t="s">
        <v>25</v>
      </c>
      <c r="C631" s="1" t="s">
        <v>2419</v>
      </c>
      <c r="D631" s="1" t="str">
        <f>Vlookup(C631,'Oil &amp; Gas Documents - Canada'!F:M,2,FALSE)</f>
        <v>#N/A</v>
      </c>
      <c r="E631" s="1" t="str">
        <f>Vlookup(C631,'Oil &amp; Gas Documents - Canada'!F:N,9,FALSE)</f>
        <v>#N/A</v>
      </c>
      <c r="F631" s="1" t="s">
        <v>2420</v>
      </c>
      <c r="G631" s="4" t="str">
        <f>HYPERLINK("http://nimonikapp.com/legislations/319375","http://nimonikapp.com/legislations/319375")</f>
        <v>http://nimonikapp.com/legislations/319375</v>
      </c>
      <c r="H631" s="1" t="s">
        <v>18</v>
      </c>
      <c r="I631" s="1" t="s">
        <v>2402</v>
      </c>
      <c r="J631" s="1" t="s">
        <v>2403</v>
      </c>
      <c r="K631" s="5">
        <v>44735.0</v>
      </c>
      <c r="L631" s="5">
        <v>43831.0</v>
      </c>
      <c r="M631" s="5">
        <v>44741.0</v>
      </c>
      <c r="N631" s="1" t="s">
        <v>2421</v>
      </c>
    </row>
    <row r="632" hidden="1">
      <c r="A632" s="1" t="s">
        <v>73</v>
      </c>
      <c r="B632" s="1" t="s">
        <v>25</v>
      </c>
      <c r="C632" s="1" t="s">
        <v>2422</v>
      </c>
      <c r="D632" s="1" t="str">
        <f>Vlookup(C632,'Oil &amp; Gas Documents - Canada'!F:M,2,FALSE)</f>
        <v>#N/A</v>
      </c>
      <c r="E632" s="1" t="str">
        <f>Vlookup(C632,'Oil &amp; Gas Documents - Canada'!F:N,9,FALSE)</f>
        <v>#N/A</v>
      </c>
      <c r="F632" s="1" t="s">
        <v>2423</v>
      </c>
      <c r="G632" s="4" t="str">
        <f>HYPERLINK("http://nimonikapp.com/legislations/321598","http://nimonikapp.com/legislations/321598")</f>
        <v>http://nimonikapp.com/legislations/321598</v>
      </c>
      <c r="H632" s="1" t="s">
        <v>18</v>
      </c>
      <c r="I632" s="1" t="s">
        <v>2402</v>
      </c>
      <c r="J632" s="1" t="s">
        <v>2403</v>
      </c>
      <c r="K632" s="5">
        <v>44735.0</v>
      </c>
      <c r="L632" s="5">
        <v>43831.0</v>
      </c>
      <c r="M632" s="5">
        <v>44741.0</v>
      </c>
    </row>
    <row r="633" hidden="1">
      <c r="A633" s="1" t="s">
        <v>73</v>
      </c>
      <c r="B633" s="1" t="s">
        <v>25</v>
      </c>
      <c r="C633" s="1" t="s">
        <v>2424</v>
      </c>
      <c r="D633" s="1" t="str">
        <f>Vlookup(C633,'Oil &amp; Gas Documents - Canada'!F:M,2,FALSE)</f>
        <v>#N/A</v>
      </c>
      <c r="E633" s="1" t="str">
        <f>Vlookup(C633,'Oil &amp; Gas Documents - Canada'!F:N,9,FALSE)</f>
        <v>#N/A</v>
      </c>
      <c r="F633" s="1" t="s">
        <v>2425</v>
      </c>
      <c r="G633" s="4" t="str">
        <f>HYPERLINK("http://nimonikapp.com/legislations/321603","http://nimonikapp.com/legislations/321603")</f>
        <v>http://nimonikapp.com/legislations/321603</v>
      </c>
      <c r="H633" s="1" t="s">
        <v>18</v>
      </c>
      <c r="I633" s="1" t="s">
        <v>2402</v>
      </c>
      <c r="J633" s="1" t="s">
        <v>2403</v>
      </c>
      <c r="K633" s="5">
        <v>44735.0</v>
      </c>
      <c r="L633" s="5">
        <v>43831.0</v>
      </c>
      <c r="M633" s="5">
        <v>44741.0</v>
      </c>
    </row>
    <row r="634" hidden="1">
      <c r="A634" s="1" t="s">
        <v>73</v>
      </c>
      <c r="B634" s="1" t="s">
        <v>25</v>
      </c>
      <c r="C634" s="1" t="s">
        <v>2426</v>
      </c>
      <c r="D634" s="1" t="str">
        <f>Vlookup(C634,'Oil &amp; Gas Documents - Canada'!F:M,2,FALSE)</f>
        <v>#N/A</v>
      </c>
      <c r="E634" s="1" t="str">
        <f>Vlookup(C634,'Oil &amp; Gas Documents - Canada'!F:N,9,FALSE)</f>
        <v>#N/A</v>
      </c>
      <c r="F634" s="1" t="s">
        <v>2427</v>
      </c>
      <c r="G634" s="4" t="str">
        <f>HYPERLINK("http://nimonikapp.com/legislations/9699","http://nimonikapp.com/legislations/9699")</f>
        <v>http://nimonikapp.com/legislations/9699</v>
      </c>
      <c r="H634" s="1" t="s">
        <v>18</v>
      </c>
      <c r="I634" s="1" t="s">
        <v>2402</v>
      </c>
      <c r="J634" s="1" t="s">
        <v>2403</v>
      </c>
      <c r="K634" s="5">
        <v>44735.0</v>
      </c>
      <c r="L634" s="5">
        <v>43831.0</v>
      </c>
      <c r="M634" s="5">
        <v>44741.0</v>
      </c>
      <c r="N634" s="1" t="s">
        <v>2428</v>
      </c>
    </row>
    <row r="635" hidden="1">
      <c r="A635" s="1" t="s">
        <v>73</v>
      </c>
      <c r="B635" s="1" t="s">
        <v>25</v>
      </c>
      <c r="C635" s="1" t="s">
        <v>2429</v>
      </c>
      <c r="D635" s="1" t="str">
        <f>Vlookup(C635,'Oil &amp; Gas Documents - Canada'!F:M,2,FALSE)</f>
        <v>#N/A</v>
      </c>
      <c r="E635" s="1" t="str">
        <f>Vlookup(C635,'Oil &amp; Gas Documents - Canada'!F:N,9,FALSE)</f>
        <v>#N/A</v>
      </c>
      <c r="F635" s="1" t="s">
        <v>2430</v>
      </c>
      <c r="G635" s="4" t="str">
        <f>HYPERLINK("http://nimonikapp.com/legislations/113705","http://nimonikapp.com/legislations/113705")</f>
        <v>http://nimonikapp.com/legislations/113705</v>
      </c>
      <c r="H635" s="1" t="s">
        <v>18</v>
      </c>
      <c r="I635" s="1" t="s">
        <v>2402</v>
      </c>
      <c r="J635" s="1" t="s">
        <v>2403</v>
      </c>
      <c r="K635" s="5">
        <v>44735.0</v>
      </c>
      <c r="L635" s="5">
        <v>43831.0</v>
      </c>
      <c r="M635" s="5">
        <v>44741.0</v>
      </c>
      <c r="N635" s="1" t="s">
        <v>2431</v>
      </c>
    </row>
    <row r="636" hidden="1">
      <c r="A636" s="1" t="s">
        <v>73</v>
      </c>
      <c r="B636" s="1" t="s">
        <v>25</v>
      </c>
      <c r="C636" s="1" t="s">
        <v>2432</v>
      </c>
      <c r="D636" s="1" t="str">
        <f>Vlookup(C636,'Oil &amp; Gas Documents - Canada'!F:M,2,FALSE)</f>
        <v>#N/A</v>
      </c>
      <c r="E636" s="1" t="str">
        <f>Vlookup(C636,'Oil &amp; Gas Documents - Canada'!F:N,9,FALSE)</f>
        <v>#N/A</v>
      </c>
      <c r="F636" s="1" t="s">
        <v>2433</v>
      </c>
      <c r="G636" s="4" t="str">
        <f>HYPERLINK("http://nimonikapp.com/legislations/10304","http://nimonikapp.com/legislations/10304")</f>
        <v>http://nimonikapp.com/legislations/10304</v>
      </c>
      <c r="H636" s="1" t="s">
        <v>18</v>
      </c>
      <c r="I636" s="1" t="s">
        <v>2402</v>
      </c>
      <c r="J636" s="1" t="s">
        <v>2403</v>
      </c>
      <c r="K636" s="5">
        <v>44735.0</v>
      </c>
      <c r="L636" s="5">
        <v>43831.0</v>
      </c>
      <c r="M636" s="5">
        <v>44741.0</v>
      </c>
    </row>
    <row r="637" hidden="1">
      <c r="A637" s="1" t="s">
        <v>73</v>
      </c>
      <c r="B637" s="1" t="s">
        <v>25</v>
      </c>
      <c r="C637" s="1" t="s">
        <v>2434</v>
      </c>
      <c r="D637" s="1" t="str">
        <f>Vlookup(C637,'Oil &amp; Gas Documents - Canada'!F:M,2,FALSE)</f>
        <v>#N/A</v>
      </c>
      <c r="E637" s="1" t="str">
        <f>Vlookup(C637,'Oil &amp; Gas Documents - Canada'!F:N,9,FALSE)</f>
        <v>#N/A</v>
      </c>
      <c r="F637" s="1" t="s">
        <v>2435</v>
      </c>
      <c r="G637" s="4" t="str">
        <f>HYPERLINK("http://nimonikapp.com/legislations/6171","http://nimonikapp.com/legislations/6171")</f>
        <v>http://nimonikapp.com/legislations/6171</v>
      </c>
      <c r="H637" s="1" t="s">
        <v>18</v>
      </c>
      <c r="I637" s="1" t="s">
        <v>2402</v>
      </c>
      <c r="J637" s="1" t="s">
        <v>2403</v>
      </c>
      <c r="K637" s="5">
        <v>44735.0</v>
      </c>
      <c r="L637" s="5">
        <v>43831.0</v>
      </c>
      <c r="M637" s="5">
        <v>44741.0</v>
      </c>
    </row>
    <row r="638" hidden="1">
      <c r="A638" s="1" t="s">
        <v>73</v>
      </c>
      <c r="B638" s="1" t="s">
        <v>25</v>
      </c>
      <c r="C638" s="1" t="s">
        <v>2436</v>
      </c>
      <c r="D638" s="1" t="str">
        <f>Vlookup(C638,'Oil &amp; Gas Documents - Canada'!F:M,2,FALSE)</f>
        <v>#N/A</v>
      </c>
      <c r="E638" s="1" t="str">
        <f>Vlookup(C638,'Oil &amp; Gas Documents - Canada'!F:N,9,FALSE)</f>
        <v>#N/A</v>
      </c>
      <c r="F638" s="1" t="s">
        <v>2437</v>
      </c>
      <c r="G638" s="4" t="str">
        <f>HYPERLINK("http://nimonikapp.com/legislations/10306","http://nimonikapp.com/legislations/10306")</f>
        <v>http://nimonikapp.com/legislations/10306</v>
      </c>
      <c r="H638" s="1" t="s">
        <v>18</v>
      </c>
      <c r="I638" s="1" t="s">
        <v>2402</v>
      </c>
      <c r="J638" s="1" t="s">
        <v>2403</v>
      </c>
      <c r="K638" s="5">
        <v>44735.0</v>
      </c>
      <c r="L638" s="5">
        <v>43831.0</v>
      </c>
      <c r="M638" s="5">
        <v>44741.0</v>
      </c>
    </row>
    <row r="639" hidden="1">
      <c r="A639" s="1" t="s">
        <v>73</v>
      </c>
      <c r="B639" s="1" t="s">
        <v>25</v>
      </c>
      <c r="C639" s="1" t="s">
        <v>2438</v>
      </c>
      <c r="D639" s="1" t="str">
        <f>Vlookup(C639,'Oil &amp; Gas Documents - Canada'!F:M,2,FALSE)</f>
        <v>#N/A</v>
      </c>
      <c r="E639" s="1" t="str">
        <f>Vlookup(C639,'Oil &amp; Gas Documents - Canada'!F:N,9,FALSE)</f>
        <v>#N/A</v>
      </c>
      <c r="F639" s="1" t="s">
        <v>2439</v>
      </c>
      <c r="G639" s="4" t="str">
        <f>HYPERLINK("http://nimonikapp.com/legislations/319381","http://nimonikapp.com/legislations/319381")</f>
        <v>http://nimonikapp.com/legislations/319381</v>
      </c>
      <c r="H639" s="1" t="s">
        <v>18</v>
      </c>
      <c r="I639" s="1" t="s">
        <v>2402</v>
      </c>
      <c r="J639" s="1" t="s">
        <v>2403</v>
      </c>
      <c r="K639" s="5">
        <v>44735.0</v>
      </c>
      <c r="L639" s="5">
        <v>43831.0</v>
      </c>
      <c r="M639" s="5">
        <v>44741.0</v>
      </c>
      <c r="N639" s="1" t="s">
        <v>2440</v>
      </c>
    </row>
    <row r="640" hidden="1">
      <c r="A640" s="1" t="s">
        <v>73</v>
      </c>
      <c r="B640" s="1" t="s">
        <v>25</v>
      </c>
      <c r="C640" s="1" t="s">
        <v>2441</v>
      </c>
      <c r="D640" s="1" t="str">
        <f>Vlookup(C640,'Oil &amp; Gas Documents - Canada'!F:M,2,FALSE)</f>
        <v>#N/A</v>
      </c>
      <c r="E640" s="1" t="str">
        <f>Vlookup(C640,'Oil &amp; Gas Documents - Canada'!F:N,9,FALSE)</f>
        <v>#N/A</v>
      </c>
      <c r="F640" s="1" t="s">
        <v>2442</v>
      </c>
      <c r="G640" s="4" t="str">
        <f>HYPERLINK("http://nimonikapp.com/legislations/319433","http://nimonikapp.com/legislations/319433")</f>
        <v>http://nimonikapp.com/legislations/319433</v>
      </c>
      <c r="H640" s="1" t="s">
        <v>18</v>
      </c>
      <c r="I640" s="1" t="s">
        <v>2402</v>
      </c>
      <c r="J640" s="1" t="s">
        <v>2403</v>
      </c>
      <c r="K640" s="5">
        <v>44735.0</v>
      </c>
      <c r="L640" s="5">
        <v>43831.0</v>
      </c>
      <c r="M640" s="5">
        <v>44741.0</v>
      </c>
      <c r="N640" s="1" t="s">
        <v>2443</v>
      </c>
    </row>
    <row r="641" hidden="1">
      <c r="A641" s="1" t="s">
        <v>73</v>
      </c>
      <c r="B641" s="1" t="s">
        <v>25</v>
      </c>
      <c r="C641" s="1" t="s">
        <v>2444</v>
      </c>
      <c r="D641" s="1" t="str">
        <f>Vlookup(C641,'Oil &amp; Gas Documents - Canada'!F:M,2,FALSE)</f>
        <v>#N/A</v>
      </c>
      <c r="E641" s="1" t="str">
        <f>Vlookup(C641,'Oil &amp; Gas Documents - Canada'!F:N,9,FALSE)</f>
        <v>#N/A</v>
      </c>
      <c r="F641" s="1" t="s">
        <v>2445</v>
      </c>
      <c r="G641" s="4" t="str">
        <f>HYPERLINK("http://nimonikapp.com/legislations/319414","http://nimonikapp.com/legislations/319414")</f>
        <v>http://nimonikapp.com/legislations/319414</v>
      </c>
      <c r="H641" s="1" t="s">
        <v>18</v>
      </c>
      <c r="I641" s="1" t="s">
        <v>2402</v>
      </c>
      <c r="J641" s="1" t="s">
        <v>2403</v>
      </c>
      <c r="K641" s="5">
        <v>44735.0</v>
      </c>
      <c r="L641" s="5">
        <v>43831.0</v>
      </c>
      <c r="M641" s="5">
        <v>44741.0</v>
      </c>
      <c r="N641" s="1" t="s">
        <v>2446</v>
      </c>
    </row>
    <row r="642" hidden="1">
      <c r="A642" s="1" t="s">
        <v>73</v>
      </c>
      <c r="B642" s="1" t="s">
        <v>25</v>
      </c>
      <c r="C642" s="1" t="s">
        <v>2447</v>
      </c>
      <c r="D642" s="1" t="str">
        <f>Vlookup(C642,'Oil &amp; Gas Documents - Canada'!F:M,2,FALSE)</f>
        <v>#N/A</v>
      </c>
      <c r="E642" s="1" t="str">
        <f>Vlookup(C642,'Oil &amp; Gas Documents - Canada'!F:N,9,FALSE)</f>
        <v>#N/A</v>
      </c>
      <c r="F642" s="1" t="s">
        <v>2448</v>
      </c>
      <c r="G642" s="4" t="str">
        <f>HYPERLINK("http://nimonikapp.com/legislations/321736","http://nimonikapp.com/legislations/321736")</f>
        <v>http://nimonikapp.com/legislations/321736</v>
      </c>
      <c r="H642" s="1" t="s">
        <v>18</v>
      </c>
      <c r="I642" s="1" t="s">
        <v>2402</v>
      </c>
      <c r="J642" s="1" t="s">
        <v>2403</v>
      </c>
      <c r="K642" s="5">
        <v>44735.0</v>
      </c>
      <c r="L642" s="5">
        <v>43831.0</v>
      </c>
      <c r="M642" s="5">
        <v>44741.0</v>
      </c>
      <c r="N642" s="1" t="s">
        <v>2449</v>
      </c>
    </row>
    <row r="643" hidden="1">
      <c r="A643" s="1" t="s">
        <v>73</v>
      </c>
      <c r="B643" s="1" t="s">
        <v>25</v>
      </c>
      <c r="C643" s="1" t="s">
        <v>2450</v>
      </c>
      <c r="D643" s="1" t="str">
        <f>Vlookup(C643,'Oil &amp; Gas Documents - Canada'!F:M,2,FALSE)</f>
        <v>#N/A</v>
      </c>
      <c r="E643" s="1" t="str">
        <f>Vlookup(C643,'Oil &amp; Gas Documents - Canada'!F:N,9,FALSE)</f>
        <v>#N/A</v>
      </c>
      <c r="F643" s="1" t="s">
        <v>2451</v>
      </c>
      <c r="G643" s="4" t="str">
        <f>HYPERLINK("http://nimonikapp.com/legislations/321854","http://nimonikapp.com/legislations/321854")</f>
        <v>http://nimonikapp.com/legislations/321854</v>
      </c>
      <c r="H643" s="1" t="s">
        <v>18</v>
      </c>
      <c r="I643" s="1" t="s">
        <v>2402</v>
      </c>
      <c r="J643" s="1" t="s">
        <v>2403</v>
      </c>
      <c r="K643" s="5">
        <v>44735.0</v>
      </c>
      <c r="L643" s="5">
        <v>43831.0</v>
      </c>
      <c r="M643" s="5">
        <v>44741.0</v>
      </c>
      <c r="N643" s="1" t="s">
        <v>2452</v>
      </c>
    </row>
    <row r="644" hidden="1">
      <c r="A644" s="1" t="s">
        <v>73</v>
      </c>
      <c r="B644" s="1" t="s">
        <v>25</v>
      </c>
      <c r="C644" s="1" t="s">
        <v>2453</v>
      </c>
      <c r="D644" s="1" t="str">
        <f>Vlookup(C644,'Oil &amp; Gas Documents - Canada'!F:M,2,FALSE)</f>
        <v>#N/A</v>
      </c>
      <c r="E644" s="1" t="str">
        <f>Vlookup(C644,'Oil &amp; Gas Documents - Canada'!F:N,9,FALSE)</f>
        <v>#N/A</v>
      </c>
      <c r="F644" s="1" t="s">
        <v>2454</v>
      </c>
      <c r="G644" s="4" t="str">
        <f>HYPERLINK("http://nimonikapp.com/legislations/321738","http://nimonikapp.com/legislations/321738")</f>
        <v>http://nimonikapp.com/legislations/321738</v>
      </c>
      <c r="H644" s="1" t="s">
        <v>18</v>
      </c>
      <c r="I644" s="1" t="s">
        <v>2402</v>
      </c>
      <c r="J644" s="1" t="s">
        <v>2403</v>
      </c>
      <c r="K644" s="5">
        <v>44735.0</v>
      </c>
      <c r="L644" s="5">
        <v>43831.0</v>
      </c>
      <c r="M644" s="5">
        <v>44741.0</v>
      </c>
      <c r="N644" s="1" t="s">
        <v>2455</v>
      </c>
    </row>
    <row r="645" hidden="1">
      <c r="A645" s="1" t="s">
        <v>73</v>
      </c>
      <c r="B645" s="1" t="s">
        <v>25</v>
      </c>
      <c r="C645" s="1" t="s">
        <v>1635</v>
      </c>
      <c r="D645" s="1" t="str">
        <f>Vlookup(C645,'Oil &amp; Gas Documents - Canada'!F:M,2,FALSE)</f>
        <v>#N/A</v>
      </c>
      <c r="E645" s="1" t="str">
        <f>Vlookup(C645,'Oil &amp; Gas Documents - Canada'!F:N,9,FALSE)</f>
        <v>#N/A</v>
      </c>
      <c r="F645" s="1" t="s">
        <v>1636</v>
      </c>
      <c r="G645" s="4" t="str">
        <f>HYPERLINK("http://nimonikapp.com/legislations/321590","http://nimonikapp.com/legislations/321590")</f>
        <v>http://nimonikapp.com/legislations/321590</v>
      </c>
      <c r="H645" s="1" t="s">
        <v>18</v>
      </c>
      <c r="I645" s="1" t="s">
        <v>2402</v>
      </c>
      <c r="J645" s="1" t="s">
        <v>2403</v>
      </c>
      <c r="K645" s="5">
        <v>44735.0</v>
      </c>
      <c r="L645" s="5">
        <v>43831.0</v>
      </c>
      <c r="M645" s="5">
        <v>44741.0</v>
      </c>
      <c r="N645" s="1" t="s">
        <v>1637</v>
      </c>
    </row>
    <row r="646" hidden="1">
      <c r="A646" s="1" t="s">
        <v>73</v>
      </c>
      <c r="B646" s="1" t="s">
        <v>25</v>
      </c>
      <c r="C646" s="1" t="s">
        <v>2456</v>
      </c>
      <c r="D646" s="1" t="str">
        <f>Vlookup(C646,'Oil &amp; Gas Documents - Canada'!F:M,2,FALSE)</f>
        <v>#N/A</v>
      </c>
      <c r="E646" s="1" t="str">
        <f>Vlookup(C646,'Oil &amp; Gas Documents - Canada'!F:N,9,FALSE)</f>
        <v>#N/A</v>
      </c>
      <c r="F646" s="1" t="s">
        <v>2457</v>
      </c>
      <c r="G646" s="4" t="str">
        <f>HYPERLINK("http://nimonikapp.com/legislations/797","http://nimonikapp.com/legislations/797")</f>
        <v>http://nimonikapp.com/legislations/797</v>
      </c>
      <c r="H646" s="1" t="s">
        <v>18</v>
      </c>
      <c r="I646" s="1" t="s">
        <v>2402</v>
      </c>
      <c r="J646" s="1" t="s">
        <v>2403</v>
      </c>
      <c r="K646" s="5">
        <v>44735.0</v>
      </c>
      <c r="L646" s="5">
        <v>43831.0</v>
      </c>
      <c r="M646" s="5">
        <v>44741.0</v>
      </c>
      <c r="N646" s="1" t="s">
        <v>2458</v>
      </c>
    </row>
    <row r="647" hidden="1">
      <c r="A647" s="1" t="s">
        <v>73</v>
      </c>
      <c r="B647" s="1" t="s">
        <v>25</v>
      </c>
      <c r="C647" s="1" t="s">
        <v>1066</v>
      </c>
      <c r="D647" s="1" t="str">
        <f>Vlookup(C647,'Oil &amp; Gas Documents - Canada'!F:M,2,FALSE)</f>
        <v>#N/A</v>
      </c>
      <c r="E647" s="1" t="str">
        <f>Vlookup(C647,'Oil &amp; Gas Documents - Canada'!F:N,9,FALSE)</f>
        <v>#N/A</v>
      </c>
      <c r="F647" s="1" t="s">
        <v>1067</v>
      </c>
      <c r="G647" s="4" t="str">
        <f>HYPERLINK("http://nimonikapp.com/legislations/786","http://nimonikapp.com/legislations/786")</f>
        <v>http://nimonikapp.com/legislations/786</v>
      </c>
      <c r="H647" s="1" t="s">
        <v>18</v>
      </c>
      <c r="I647" s="1" t="s">
        <v>2402</v>
      </c>
      <c r="J647" s="1" t="s">
        <v>2403</v>
      </c>
      <c r="K647" s="5">
        <v>44735.0</v>
      </c>
      <c r="L647" s="5">
        <v>43831.0</v>
      </c>
      <c r="M647" s="5">
        <v>44741.0</v>
      </c>
      <c r="N647" s="1" t="s">
        <v>1068</v>
      </c>
    </row>
    <row r="648" hidden="1">
      <c r="A648" s="1" t="s">
        <v>73</v>
      </c>
      <c r="B648" s="1" t="s">
        <v>25</v>
      </c>
      <c r="C648" s="1" t="s">
        <v>2459</v>
      </c>
      <c r="D648" s="1" t="str">
        <f>Vlookup(C648,'Oil &amp; Gas Documents - Canada'!F:M,2,FALSE)</f>
        <v>#N/A</v>
      </c>
      <c r="E648" s="1" t="str">
        <f>Vlookup(C648,'Oil &amp; Gas Documents - Canada'!F:N,9,FALSE)</f>
        <v>#N/A</v>
      </c>
      <c r="F648" s="1" t="s">
        <v>2460</v>
      </c>
      <c r="G648" s="4" t="str">
        <f>HYPERLINK("http://nimonikapp.com/legislations/321812","http://nimonikapp.com/legislations/321812")</f>
        <v>http://nimonikapp.com/legislations/321812</v>
      </c>
      <c r="H648" s="1" t="s">
        <v>18</v>
      </c>
      <c r="I648" s="1" t="s">
        <v>2402</v>
      </c>
      <c r="J648" s="1" t="s">
        <v>2403</v>
      </c>
      <c r="K648" s="5">
        <v>44735.0</v>
      </c>
      <c r="L648" s="5">
        <v>43831.0</v>
      </c>
      <c r="M648" s="5">
        <v>44741.0</v>
      </c>
      <c r="N648" s="1" t="s">
        <v>2461</v>
      </c>
    </row>
    <row r="649" hidden="1">
      <c r="A649" s="1" t="s">
        <v>73</v>
      </c>
      <c r="B649" s="1" t="s">
        <v>25</v>
      </c>
      <c r="C649" s="1" t="s">
        <v>1074</v>
      </c>
      <c r="D649" s="1" t="str">
        <f>Vlookup(C649,'Oil &amp; Gas Documents - Canada'!F:M,2,FALSE)</f>
        <v>#N/A</v>
      </c>
      <c r="E649" s="1" t="str">
        <f>Vlookup(C649,'Oil &amp; Gas Documents - Canada'!F:N,9,FALSE)</f>
        <v>#N/A</v>
      </c>
      <c r="F649" s="1" t="s">
        <v>1075</v>
      </c>
      <c r="G649" s="4" t="str">
        <f>HYPERLINK("http://nimonikapp.com/legislations/319397","http://nimonikapp.com/legislations/319397")</f>
        <v>http://nimonikapp.com/legislations/319397</v>
      </c>
      <c r="H649" s="1" t="s">
        <v>18</v>
      </c>
      <c r="I649" s="1" t="s">
        <v>2402</v>
      </c>
      <c r="J649" s="1" t="s">
        <v>2403</v>
      </c>
      <c r="K649" s="5">
        <v>44735.0</v>
      </c>
      <c r="L649" s="5">
        <v>43831.0</v>
      </c>
      <c r="M649" s="5">
        <v>44741.0</v>
      </c>
      <c r="N649" s="1" t="s">
        <v>1078</v>
      </c>
    </row>
    <row r="650" hidden="1">
      <c r="A650" s="1" t="s">
        <v>73</v>
      </c>
      <c r="B650" s="1" t="s">
        <v>25</v>
      </c>
      <c r="C650" s="1" t="s">
        <v>1079</v>
      </c>
      <c r="D650" s="1" t="str">
        <f>Vlookup(C650,'Oil &amp; Gas Documents - Canada'!F:M,2,FALSE)</f>
        <v>#N/A</v>
      </c>
      <c r="E650" s="1" t="str">
        <f>Vlookup(C650,'Oil &amp; Gas Documents - Canada'!F:N,9,FALSE)</f>
        <v>#N/A</v>
      </c>
      <c r="F650" s="1" t="s">
        <v>1080</v>
      </c>
      <c r="G650" s="4" t="str">
        <f>HYPERLINK("http://nimonikapp.com/legislations/697","http://nimonikapp.com/legislations/697")</f>
        <v>http://nimonikapp.com/legislations/697</v>
      </c>
      <c r="H650" s="1" t="s">
        <v>18</v>
      </c>
      <c r="I650" s="1" t="s">
        <v>2402</v>
      </c>
      <c r="J650" s="1" t="s">
        <v>2403</v>
      </c>
      <c r="K650" s="5">
        <v>44735.0</v>
      </c>
      <c r="L650" s="5">
        <v>43831.0</v>
      </c>
      <c r="M650" s="5">
        <v>44741.0</v>
      </c>
      <c r="N650" s="1" t="s">
        <v>1081</v>
      </c>
    </row>
    <row r="651" hidden="1">
      <c r="A651" s="1" t="s">
        <v>73</v>
      </c>
      <c r="B651" s="1" t="s">
        <v>25</v>
      </c>
      <c r="C651" s="1" t="s">
        <v>1082</v>
      </c>
      <c r="D651" s="1" t="str">
        <f>Vlookup(C651,'Oil &amp; Gas Documents - Canada'!F:M,2,FALSE)</f>
        <v>#N/A</v>
      </c>
      <c r="E651" s="1" t="str">
        <f>Vlookup(C651,'Oil &amp; Gas Documents - Canada'!F:N,9,FALSE)</f>
        <v>#N/A</v>
      </c>
      <c r="F651" s="1" t="s">
        <v>1083</v>
      </c>
      <c r="G651" s="4" t="str">
        <f>HYPERLINK("http://nimonikapp.com/legislations/319402","http://nimonikapp.com/legislations/319402")</f>
        <v>http://nimonikapp.com/legislations/319402</v>
      </c>
      <c r="H651" s="1" t="s">
        <v>18</v>
      </c>
      <c r="I651" s="1" t="s">
        <v>2402</v>
      </c>
      <c r="J651" s="1" t="s">
        <v>2403</v>
      </c>
      <c r="K651" s="5">
        <v>44735.0</v>
      </c>
      <c r="L651" s="5">
        <v>43831.0</v>
      </c>
      <c r="M651" s="5">
        <v>44741.0</v>
      </c>
      <c r="N651" s="1" t="s">
        <v>1084</v>
      </c>
    </row>
    <row r="652">
      <c r="A652" s="1" t="s">
        <v>73</v>
      </c>
      <c r="B652" s="1" t="s">
        <v>25</v>
      </c>
      <c r="C652" s="1" t="s">
        <v>170</v>
      </c>
      <c r="D652" s="1" t="s">
        <v>26</v>
      </c>
      <c r="E652" s="1" t="str">
        <f>Vlookup(C652,'Oil &amp; Gas Documents - Canada'!F:N,9,FALSE)</f>
        <v>#N/A</v>
      </c>
      <c r="F652" s="1" t="s">
        <v>169</v>
      </c>
      <c r="G652" s="4" t="str">
        <f>HYPERLINK("http://nimonikapp.com/legislations/100784","http://nimonikapp.com/legislations/100784")</f>
        <v>http://nimonikapp.com/legislations/100784</v>
      </c>
      <c r="H652" s="1" t="s">
        <v>18</v>
      </c>
      <c r="I652" s="1" t="s">
        <v>386</v>
      </c>
      <c r="J652" s="1" t="s">
        <v>387</v>
      </c>
      <c r="K652" s="5">
        <v>44735.0</v>
      </c>
      <c r="L652" s="5">
        <v>44805.0</v>
      </c>
      <c r="M652" s="5">
        <v>44741.0</v>
      </c>
      <c r="N652" s="1" t="s">
        <v>171</v>
      </c>
    </row>
    <row r="653" hidden="1">
      <c r="A653" s="1" t="s">
        <v>73</v>
      </c>
      <c r="B653" s="1" t="s">
        <v>25</v>
      </c>
      <c r="C653" s="1" t="s">
        <v>2462</v>
      </c>
      <c r="D653" s="1" t="str">
        <f>Vlookup(C653,'Oil &amp; Gas Documents - Canada'!F:M,2,FALSE)</f>
        <v>#N/A</v>
      </c>
      <c r="E653" s="1" t="str">
        <f>Vlookup(C653,'Oil &amp; Gas Documents - Canada'!F:N,9,FALSE)</f>
        <v>#N/A</v>
      </c>
      <c r="F653" s="1" t="s">
        <v>2463</v>
      </c>
      <c r="G653" s="4" t="str">
        <f>HYPERLINK("http://nimonikapp.com/legislations/118481","http://nimonikapp.com/legislations/118481")</f>
        <v>http://nimonikapp.com/legislations/118481</v>
      </c>
      <c r="H653" s="1" t="s">
        <v>18</v>
      </c>
      <c r="I653" s="1" t="s">
        <v>386</v>
      </c>
      <c r="J653" s="1" t="s">
        <v>387</v>
      </c>
      <c r="K653" s="5">
        <v>44735.0</v>
      </c>
      <c r="L653" s="5">
        <v>44805.0</v>
      </c>
      <c r="M653" s="5">
        <v>44741.0</v>
      </c>
    </row>
    <row r="654" hidden="1">
      <c r="A654" s="1" t="s">
        <v>73</v>
      </c>
      <c r="B654" s="1" t="s">
        <v>25</v>
      </c>
      <c r="C654" s="1" t="s">
        <v>1074</v>
      </c>
      <c r="D654" s="1" t="str">
        <f>Vlookup(C654,'Oil &amp; Gas Documents - Canada'!F:M,2,FALSE)</f>
        <v>#N/A</v>
      </c>
      <c r="E654" s="1" t="str">
        <f>Vlookup(C654,'Oil &amp; Gas Documents - Canada'!F:N,9,FALSE)</f>
        <v>#N/A</v>
      </c>
      <c r="F654" s="1" t="s">
        <v>1075</v>
      </c>
      <c r="G654" s="4" t="str">
        <f>HYPERLINK("http://nimonikapp.com/legislations/319397","http://nimonikapp.com/legislations/319397")</f>
        <v>http://nimonikapp.com/legislations/319397</v>
      </c>
      <c r="H654" s="1" t="s">
        <v>18</v>
      </c>
      <c r="I654" s="1" t="s">
        <v>386</v>
      </c>
      <c r="J654" s="1" t="s">
        <v>387</v>
      </c>
      <c r="K654" s="5">
        <v>44735.0</v>
      </c>
      <c r="L654" s="5">
        <v>44805.0</v>
      </c>
      <c r="M654" s="5">
        <v>44741.0</v>
      </c>
      <c r="N654" s="1" t="s">
        <v>1078</v>
      </c>
    </row>
    <row r="655" hidden="1">
      <c r="A655" s="1" t="s">
        <v>73</v>
      </c>
      <c r="B655" s="1" t="s">
        <v>25</v>
      </c>
      <c r="C655" s="1" t="s">
        <v>2464</v>
      </c>
      <c r="D655" s="1" t="str">
        <f>Vlookup(C655,'Oil &amp; Gas Documents - Canada'!F:M,2,FALSE)</f>
        <v>#N/A</v>
      </c>
      <c r="E655" s="1" t="str">
        <f>Vlookup(C655,'Oil &amp; Gas Documents - Canada'!F:N,9,FALSE)</f>
        <v>#N/A</v>
      </c>
      <c r="F655" s="1" t="s">
        <v>2465</v>
      </c>
      <c r="G655" s="4" t="str">
        <f>HYPERLINK("http://nimonikapp.com/legislations/688","http://nimonikapp.com/legislations/688")</f>
        <v>http://nimonikapp.com/legislations/688</v>
      </c>
      <c r="H655" s="1" t="s">
        <v>18</v>
      </c>
      <c r="I655" s="1" t="s">
        <v>386</v>
      </c>
      <c r="J655" s="1" t="s">
        <v>387</v>
      </c>
      <c r="K655" s="5">
        <v>44735.0</v>
      </c>
      <c r="L655" s="5">
        <v>44805.0</v>
      </c>
      <c r="M655" s="5">
        <v>44741.0</v>
      </c>
      <c r="N655" s="1" t="s">
        <v>2466</v>
      </c>
    </row>
    <row r="656" hidden="1">
      <c r="A656" s="1" t="s">
        <v>73</v>
      </c>
      <c r="B656" s="1" t="s">
        <v>25</v>
      </c>
      <c r="C656" s="1" t="s">
        <v>1635</v>
      </c>
      <c r="D656" s="1" t="str">
        <f>Vlookup(C656,'Oil &amp; Gas Documents - Canada'!F:M,2,FALSE)</f>
        <v>#N/A</v>
      </c>
      <c r="E656" s="1" t="str">
        <f>Vlookup(C656,'Oil &amp; Gas Documents - Canada'!F:N,9,FALSE)</f>
        <v>#N/A</v>
      </c>
      <c r="F656" s="1" t="s">
        <v>1636</v>
      </c>
      <c r="G656" s="4" t="str">
        <f>HYPERLINK("http://nimonikapp.com/legislations/321590","http://nimonikapp.com/legislations/321590")</f>
        <v>http://nimonikapp.com/legislations/321590</v>
      </c>
      <c r="H656" s="1" t="s">
        <v>18</v>
      </c>
      <c r="I656" s="1" t="s">
        <v>386</v>
      </c>
      <c r="J656" s="1" t="s">
        <v>387</v>
      </c>
      <c r="K656" s="5">
        <v>44735.0</v>
      </c>
      <c r="L656" s="5">
        <v>44805.0</v>
      </c>
      <c r="M656" s="5">
        <v>44741.0</v>
      </c>
      <c r="N656" s="1" t="s">
        <v>1637</v>
      </c>
    </row>
    <row r="657" hidden="1">
      <c r="A657" s="1" t="s">
        <v>73</v>
      </c>
      <c r="B657" s="1" t="s">
        <v>25</v>
      </c>
      <c r="C657" s="1" t="s">
        <v>1082</v>
      </c>
      <c r="D657" s="1" t="str">
        <f>Vlookup(C657,'Oil &amp; Gas Documents - Canada'!F:M,2,FALSE)</f>
        <v>#N/A</v>
      </c>
      <c r="E657" s="1" t="str">
        <f>Vlookup(C657,'Oil &amp; Gas Documents - Canada'!F:N,9,FALSE)</f>
        <v>#N/A</v>
      </c>
      <c r="F657" s="1" t="s">
        <v>1083</v>
      </c>
      <c r="G657" s="4" t="str">
        <f>HYPERLINK("http://nimonikapp.com/legislations/319402","http://nimonikapp.com/legislations/319402")</f>
        <v>http://nimonikapp.com/legislations/319402</v>
      </c>
      <c r="H657" s="1" t="s">
        <v>18</v>
      </c>
      <c r="I657" s="1" t="s">
        <v>386</v>
      </c>
      <c r="J657" s="1" t="s">
        <v>387</v>
      </c>
      <c r="K657" s="5">
        <v>44735.0</v>
      </c>
      <c r="L657" s="5">
        <v>44805.0</v>
      </c>
      <c r="M657" s="5">
        <v>44741.0</v>
      </c>
      <c r="N657" s="1" t="s">
        <v>1084</v>
      </c>
    </row>
    <row r="658" hidden="1">
      <c r="A658" s="1" t="s">
        <v>73</v>
      </c>
      <c r="B658" s="1" t="s">
        <v>25</v>
      </c>
      <c r="C658" s="1" t="s">
        <v>2456</v>
      </c>
      <c r="D658" s="1" t="str">
        <f>Vlookup(C658,'Oil &amp; Gas Documents - Canada'!F:M,2,FALSE)</f>
        <v>#N/A</v>
      </c>
      <c r="E658" s="1" t="str">
        <f>Vlookup(C658,'Oil &amp; Gas Documents - Canada'!F:N,9,FALSE)</f>
        <v>#N/A</v>
      </c>
      <c r="F658" s="1" t="s">
        <v>2457</v>
      </c>
      <c r="G658" s="4" t="str">
        <f>HYPERLINK("http://nimonikapp.com/legislations/797","http://nimonikapp.com/legislations/797")</f>
        <v>http://nimonikapp.com/legislations/797</v>
      </c>
      <c r="H658" s="1" t="s">
        <v>18</v>
      </c>
      <c r="I658" s="1" t="s">
        <v>386</v>
      </c>
      <c r="J658" s="1" t="s">
        <v>387</v>
      </c>
      <c r="K658" s="5">
        <v>44735.0</v>
      </c>
      <c r="L658" s="5">
        <v>44805.0</v>
      </c>
      <c r="M658" s="5">
        <v>44741.0</v>
      </c>
      <c r="N658" s="1" t="s">
        <v>2458</v>
      </c>
    </row>
    <row r="659" hidden="1">
      <c r="A659" s="1" t="s">
        <v>73</v>
      </c>
      <c r="B659" s="1" t="s">
        <v>25</v>
      </c>
      <c r="C659" s="1" t="s">
        <v>1079</v>
      </c>
      <c r="D659" s="1" t="str">
        <f>Vlookup(C659,'Oil &amp; Gas Documents - Canada'!F:M,2,FALSE)</f>
        <v>#N/A</v>
      </c>
      <c r="E659" s="1" t="str">
        <f>Vlookup(C659,'Oil &amp; Gas Documents - Canada'!F:N,9,FALSE)</f>
        <v>#N/A</v>
      </c>
      <c r="F659" s="1" t="s">
        <v>1080</v>
      </c>
      <c r="G659" s="4" t="str">
        <f>HYPERLINK("http://nimonikapp.com/legislations/697","http://nimonikapp.com/legislations/697")</f>
        <v>http://nimonikapp.com/legislations/697</v>
      </c>
      <c r="H659" s="1" t="s">
        <v>18</v>
      </c>
      <c r="I659" s="1" t="s">
        <v>386</v>
      </c>
      <c r="J659" s="1" t="s">
        <v>387</v>
      </c>
      <c r="K659" s="5">
        <v>44735.0</v>
      </c>
      <c r="L659" s="5">
        <v>44805.0</v>
      </c>
      <c r="M659" s="5">
        <v>44741.0</v>
      </c>
      <c r="N659" s="1" t="s">
        <v>1081</v>
      </c>
    </row>
    <row r="660" hidden="1">
      <c r="A660" s="1" t="s">
        <v>73</v>
      </c>
      <c r="B660" s="1" t="s">
        <v>25</v>
      </c>
      <c r="C660" s="1" t="s">
        <v>1066</v>
      </c>
      <c r="D660" s="1" t="str">
        <f>Vlookup(C660,'Oil &amp; Gas Documents - Canada'!F:M,2,FALSE)</f>
        <v>#N/A</v>
      </c>
      <c r="E660" s="1" t="str">
        <f>Vlookup(C660,'Oil &amp; Gas Documents - Canada'!F:N,9,FALSE)</f>
        <v>#N/A</v>
      </c>
      <c r="F660" s="1" t="s">
        <v>1067</v>
      </c>
      <c r="G660" s="4" t="str">
        <f>HYPERLINK("http://nimonikapp.com/legislations/786","http://nimonikapp.com/legislations/786")</f>
        <v>http://nimonikapp.com/legislations/786</v>
      </c>
      <c r="H660" s="1" t="s">
        <v>18</v>
      </c>
      <c r="I660" s="1" t="s">
        <v>386</v>
      </c>
      <c r="J660" s="1" t="s">
        <v>387</v>
      </c>
      <c r="K660" s="5">
        <v>44735.0</v>
      </c>
      <c r="L660" s="5">
        <v>44805.0</v>
      </c>
      <c r="M660" s="5">
        <v>44741.0</v>
      </c>
      <c r="N660" s="1" t="s">
        <v>1068</v>
      </c>
    </row>
    <row r="661" hidden="1">
      <c r="A661" s="1" t="s">
        <v>73</v>
      </c>
      <c r="B661" s="1" t="s">
        <v>25</v>
      </c>
      <c r="C661" s="1" t="s">
        <v>2467</v>
      </c>
      <c r="D661" s="1" t="str">
        <f>Vlookup(C661,'Oil &amp; Gas Documents - Canada'!F:M,2,FALSE)</f>
        <v>#N/A</v>
      </c>
      <c r="E661" s="1" t="str">
        <f>Vlookup(C661,'Oil &amp; Gas Documents - Canada'!F:N,9,FALSE)</f>
        <v>#N/A</v>
      </c>
      <c r="F661" s="1" t="s">
        <v>2468</v>
      </c>
      <c r="G661" s="4" t="str">
        <f>HYPERLINK("http://nimonikapp.com/legislations/319369","http://nimonikapp.com/legislations/319369")</f>
        <v>http://nimonikapp.com/legislations/319369</v>
      </c>
      <c r="H661" s="1" t="s">
        <v>18</v>
      </c>
      <c r="I661" s="1" t="s">
        <v>386</v>
      </c>
      <c r="J661" s="1" t="s">
        <v>387</v>
      </c>
      <c r="K661" s="5">
        <v>44735.0</v>
      </c>
      <c r="L661" s="5">
        <v>44805.0</v>
      </c>
      <c r="M661" s="5">
        <v>44741.0</v>
      </c>
      <c r="N661" s="1" t="s">
        <v>2469</v>
      </c>
    </row>
    <row r="662" hidden="1">
      <c r="A662" s="1" t="s">
        <v>73</v>
      </c>
      <c r="B662" s="1" t="s">
        <v>25</v>
      </c>
      <c r="C662" s="1" t="s">
        <v>2470</v>
      </c>
      <c r="D662" s="1" t="str">
        <f>Vlookup(C662,'Oil &amp; Gas Documents - Canada'!F:M,2,FALSE)</f>
        <v>#N/A</v>
      </c>
      <c r="E662" s="1" t="str">
        <f>Vlookup(C662,'Oil &amp; Gas Documents - Canada'!F:N,9,FALSE)</f>
        <v>#N/A</v>
      </c>
      <c r="F662" s="1" t="s">
        <v>2471</v>
      </c>
      <c r="G662" s="4" t="str">
        <f>HYPERLINK("http://nimonikapp.com/legislations/319368","http://nimonikapp.com/legislations/319368")</f>
        <v>http://nimonikapp.com/legislations/319368</v>
      </c>
      <c r="H662" s="1" t="s">
        <v>18</v>
      </c>
      <c r="I662" s="1" t="s">
        <v>386</v>
      </c>
      <c r="J662" s="1" t="s">
        <v>387</v>
      </c>
      <c r="K662" s="5">
        <v>44735.0</v>
      </c>
      <c r="L662" s="5">
        <v>44805.0</v>
      </c>
      <c r="M662" s="5">
        <v>44741.0</v>
      </c>
    </row>
    <row r="663" hidden="1">
      <c r="A663" s="1" t="s">
        <v>221</v>
      </c>
      <c r="B663" s="1" t="s">
        <v>25</v>
      </c>
      <c r="C663" s="1" t="s">
        <v>2472</v>
      </c>
      <c r="D663" s="1" t="str">
        <f>Vlookup(C663,'Oil &amp; Gas Documents - Canada'!F:M,2,FALSE)</f>
        <v>#N/A</v>
      </c>
      <c r="E663" s="1" t="str">
        <f>Vlookup(C663,'Oil &amp; Gas Documents - Canada'!F:N,9,FALSE)</f>
        <v>#N/A</v>
      </c>
      <c r="F663" s="1" t="s">
        <v>2473</v>
      </c>
      <c r="G663" s="4" t="str">
        <f>HYPERLINK("http://nimonikapp.com/legislations/10637","http://nimonikapp.com/legislations/10637")</f>
        <v>http://nimonikapp.com/legislations/10637</v>
      </c>
      <c r="H663" s="1" t="s">
        <v>18</v>
      </c>
      <c r="I663" s="1" t="s">
        <v>2474</v>
      </c>
      <c r="J663" s="1" t="s">
        <v>2475</v>
      </c>
      <c r="K663" s="5">
        <v>44734.0</v>
      </c>
      <c r="M663" s="5">
        <v>44741.0</v>
      </c>
      <c r="N663" s="1" t="s">
        <v>2476</v>
      </c>
    </row>
    <row r="664" hidden="1">
      <c r="A664" s="1" t="s">
        <v>221</v>
      </c>
      <c r="B664" s="1" t="s">
        <v>25</v>
      </c>
      <c r="C664" s="1" t="s">
        <v>2477</v>
      </c>
      <c r="D664" s="1" t="str">
        <f>Vlookup(C664,'Oil &amp; Gas Documents - Canada'!F:M,2,FALSE)</f>
        <v>#N/A</v>
      </c>
      <c r="E664" s="1" t="str">
        <f>Vlookup(C664,'Oil &amp; Gas Documents - Canada'!F:N,9,FALSE)</f>
        <v>#N/A</v>
      </c>
      <c r="F664" s="1" t="s">
        <v>2478</v>
      </c>
      <c r="G664" s="4" t="str">
        <f>HYPERLINK("http://nimonikapp.com/legislations/118522","http://nimonikapp.com/legislations/118522")</f>
        <v>http://nimonikapp.com/legislations/118522</v>
      </c>
      <c r="H664" s="1" t="s">
        <v>18</v>
      </c>
      <c r="I664" s="1" t="s">
        <v>2474</v>
      </c>
      <c r="J664" s="1" t="s">
        <v>2475</v>
      </c>
      <c r="K664" s="5">
        <v>44734.0</v>
      </c>
      <c r="M664" s="5">
        <v>44741.0</v>
      </c>
      <c r="N664" s="1" t="s">
        <v>2479</v>
      </c>
    </row>
    <row r="665" hidden="1">
      <c r="A665" s="1" t="s">
        <v>221</v>
      </c>
      <c r="B665" s="1" t="s">
        <v>25</v>
      </c>
      <c r="C665" s="1" t="s">
        <v>2480</v>
      </c>
      <c r="D665" s="1" t="str">
        <f>Vlookup(C665,'Oil &amp; Gas Documents - Canada'!F:M,2,FALSE)</f>
        <v>#N/A</v>
      </c>
      <c r="E665" s="1" t="str">
        <f>Vlookup(C665,'Oil &amp; Gas Documents - Canada'!F:N,9,FALSE)</f>
        <v>#N/A</v>
      </c>
      <c r="F665" s="1" t="s">
        <v>2481</v>
      </c>
      <c r="G665" s="4" t="str">
        <f>HYPERLINK("http://nimonikapp.com/legislations/353929","http://nimonikapp.com/legislations/353929")</f>
        <v>http://nimonikapp.com/legislations/353929</v>
      </c>
      <c r="H665" s="1" t="s">
        <v>18</v>
      </c>
      <c r="I665" s="1" t="s">
        <v>2482</v>
      </c>
      <c r="J665" s="1" t="s">
        <v>2483</v>
      </c>
      <c r="K665" s="5">
        <v>44734.0</v>
      </c>
      <c r="M665" s="5">
        <v>44741.0</v>
      </c>
      <c r="N665" s="1" t="s">
        <v>2484</v>
      </c>
    </row>
    <row r="666" hidden="1">
      <c r="A666" s="1" t="s">
        <v>73</v>
      </c>
      <c r="B666" s="1" t="s">
        <v>25</v>
      </c>
      <c r="C666" s="1" t="s">
        <v>1066</v>
      </c>
      <c r="D666" s="1" t="str">
        <f>Vlookup(C666,'Oil &amp; Gas Documents - Canada'!F:M,2,FALSE)</f>
        <v>#N/A</v>
      </c>
      <c r="E666" s="1" t="str">
        <f>Vlookup(C666,'Oil &amp; Gas Documents - Canada'!F:N,9,FALSE)</f>
        <v>#N/A</v>
      </c>
      <c r="F666" s="1" t="s">
        <v>1067</v>
      </c>
      <c r="G666" s="4" t="str">
        <f>HYPERLINK("http://nimonikapp.com/legislations/786","http://nimonikapp.com/legislations/786")</f>
        <v>http://nimonikapp.com/legislations/786</v>
      </c>
      <c r="H666" s="1" t="s">
        <v>18</v>
      </c>
      <c r="I666" s="1" t="s">
        <v>2485</v>
      </c>
      <c r="J666" s="1" t="s">
        <v>2486</v>
      </c>
      <c r="K666" s="5">
        <v>44735.0</v>
      </c>
      <c r="L666" s="5">
        <v>44860.0</v>
      </c>
      <c r="M666" s="5">
        <v>44741.0</v>
      </c>
      <c r="N666" s="1" t="s">
        <v>1068</v>
      </c>
    </row>
    <row r="667" hidden="1">
      <c r="A667" s="1" t="s">
        <v>202</v>
      </c>
      <c r="B667" s="1" t="s">
        <v>25</v>
      </c>
      <c r="C667" s="1" t="s">
        <v>2487</v>
      </c>
      <c r="D667" s="1" t="str">
        <f>Vlookup(C667,'Oil &amp; Gas Documents - Canada'!F:M,2,FALSE)</f>
        <v>#N/A</v>
      </c>
      <c r="E667" s="1" t="str">
        <f>Vlookup(C667,'Oil &amp; Gas Documents - Canada'!F:N,9,FALSE)</f>
        <v>#N/A</v>
      </c>
      <c r="F667" s="1" t="s">
        <v>2488</v>
      </c>
      <c r="G667" s="4" t="str">
        <f>HYPERLINK("http://nimonikapp.com/legislations/113696","http://nimonikapp.com/legislations/113696")</f>
        <v>http://nimonikapp.com/legislations/113696</v>
      </c>
      <c r="H667" s="1" t="s">
        <v>18</v>
      </c>
      <c r="I667" s="1" t="s">
        <v>2489</v>
      </c>
      <c r="J667" s="1" t="s">
        <v>2490</v>
      </c>
      <c r="K667" s="5">
        <v>44741.0</v>
      </c>
      <c r="L667" s="5">
        <v>44756.0</v>
      </c>
      <c r="M667" s="5">
        <v>44741.0</v>
      </c>
      <c r="N667" s="1" t="s">
        <v>2491</v>
      </c>
    </row>
    <row r="668" hidden="1">
      <c r="A668" s="1" t="s">
        <v>202</v>
      </c>
      <c r="B668" s="1" t="s">
        <v>25</v>
      </c>
      <c r="C668" s="1" t="s">
        <v>2492</v>
      </c>
      <c r="D668" s="1" t="str">
        <f>Vlookup(C668,'Oil &amp; Gas Documents - Canada'!F:M,2,FALSE)</f>
        <v>#N/A</v>
      </c>
      <c r="E668" s="1" t="str">
        <f>Vlookup(C668,'Oil &amp; Gas Documents - Canada'!F:N,9,FALSE)</f>
        <v>#N/A</v>
      </c>
      <c r="F668" s="1" t="s">
        <v>2493</v>
      </c>
      <c r="G668" s="4" t="str">
        <f>HYPERLINK("http://nimonikapp.com/legislations/945","http://nimonikapp.com/legislations/945")</f>
        <v>http://nimonikapp.com/legislations/945</v>
      </c>
      <c r="H668" s="1" t="s">
        <v>18</v>
      </c>
      <c r="I668" s="1" t="s">
        <v>2494</v>
      </c>
      <c r="J668" s="1" t="s">
        <v>2495</v>
      </c>
      <c r="K668" s="5">
        <v>44741.0</v>
      </c>
      <c r="L668" s="5">
        <v>44741.0</v>
      </c>
      <c r="M668" s="5">
        <v>44741.0</v>
      </c>
      <c r="N668" s="1" t="s">
        <v>2496</v>
      </c>
    </row>
    <row r="669">
      <c r="A669" s="1" t="s">
        <v>73</v>
      </c>
      <c r="B669" s="1" t="s">
        <v>25</v>
      </c>
      <c r="C669" s="1" t="s">
        <v>389</v>
      </c>
      <c r="D669" s="1" t="str">
        <f>Vlookup(C669,'Oil &amp; Gas Documents - Canada'!F:M,2,FALSE)</f>
        <v>oil_and_gas, utilities_and_communications, mining_and_minerals_industry</v>
      </c>
      <c r="E669" s="1" t="str">
        <f>Vlookup(C669,'Oil &amp; Gas Documents - Canada'!F:N,9,FALSE)</f>
        <v/>
      </c>
      <c r="F669" s="1" t="s">
        <v>388</v>
      </c>
      <c r="G669" s="4" t="str">
        <f>HYPERLINK("http://nimonikapp.com/legislations/129732","http://nimonikapp.com/legislations/129732")</f>
        <v>http://nimonikapp.com/legislations/129732</v>
      </c>
      <c r="H669" s="1" t="s">
        <v>18</v>
      </c>
      <c r="I669" s="1" t="s">
        <v>390</v>
      </c>
      <c r="J669" s="1" t="s">
        <v>391</v>
      </c>
      <c r="K669" s="5">
        <v>44735.0</v>
      </c>
      <c r="L669" s="5">
        <v>44735.0</v>
      </c>
      <c r="M669" s="5">
        <v>44740.0</v>
      </c>
    </row>
    <row r="670" hidden="1">
      <c r="A670" s="1" t="s">
        <v>73</v>
      </c>
      <c r="B670" s="1" t="s">
        <v>25</v>
      </c>
      <c r="C670" s="1" t="s">
        <v>2497</v>
      </c>
      <c r="D670" s="1" t="str">
        <f>Vlookup(C670,'Oil &amp; Gas Documents - Canada'!F:M,2,FALSE)</f>
        <v>#N/A</v>
      </c>
      <c r="E670" s="1" t="str">
        <f>Vlookup(C670,'Oil &amp; Gas Documents - Canada'!F:N,9,FALSE)</f>
        <v>#N/A</v>
      </c>
      <c r="F670" s="1" t="s">
        <v>2498</v>
      </c>
      <c r="G670" s="4" t="str">
        <f>HYPERLINK("http://nimonikapp.com/legislations/116840","http://nimonikapp.com/legislations/116840")</f>
        <v>http://nimonikapp.com/legislations/116840</v>
      </c>
      <c r="H670" s="1" t="s">
        <v>18</v>
      </c>
      <c r="I670" s="1" t="s">
        <v>390</v>
      </c>
      <c r="J670" s="1" t="s">
        <v>391</v>
      </c>
      <c r="K670" s="5">
        <v>44735.0</v>
      </c>
      <c r="L670" s="5">
        <v>44735.0</v>
      </c>
      <c r="M670" s="5">
        <v>44740.0</v>
      </c>
    </row>
    <row r="671" hidden="1">
      <c r="A671" s="1" t="s">
        <v>73</v>
      </c>
      <c r="B671" s="1" t="s">
        <v>25</v>
      </c>
      <c r="C671" s="1" t="s">
        <v>2436</v>
      </c>
      <c r="D671" s="1" t="str">
        <f>Vlookup(C671,'Oil &amp; Gas Documents - Canada'!F:M,2,FALSE)</f>
        <v>#N/A</v>
      </c>
      <c r="E671" s="1" t="str">
        <f>Vlookup(C671,'Oil &amp; Gas Documents - Canada'!F:N,9,FALSE)</f>
        <v>#N/A</v>
      </c>
      <c r="F671" s="1" t="s">
        <v>2437</v>
      </c>
      <c r="G671" s="4" t="str">
        <f>HYPERLINK("http://nimonikapp.com/legislations/10306","http://nimonikapp.com/legislations/10306")</f>
        <v>http://nimonikapp.com/legislations/10306</v>
      </c>
      <c r="H671" s="1" t="s">
        <v>18</v>
      </c>
      <c r="I671" s="1" t="s">
        <v>390</v>
      </c>
      <c r="J671" s="1" t="s">
        <v>391</v>
      </c>
      <c r="K671" s="5">
        <v>44735.0</v>
      </c>
      <c r="L671" s="5">
        <v>44735.0</v>
      </c>
      <c r="M671" s="5">
        <v>44740.0</v>
      </c>
    </row>
    <row r="672" hidden="1">
      <c r="A672" s="1" t="s">
        <v>73</v>
      </c>
      <c r="B672" s="1" t="s">
        <v>25</v>
      </c>
      <c r="C672" s="1" t="s">
        <v>2470</v>
      </c>
      <c r="D672" s="1" t="str">
        <f>Vlookup(C672,'Oil &amp; Gas Documents - Canada'!F:M,2,FALSE)</f>
        <v>#N/A</v>
      </c>
      <c r="E672" s="1" t="str">
        <f>Vlookup(C672,'Oil &amp; Gas Documents - Canada'!F:N,9,FALSE)</f>
        <v>#N/A</v>
      </c>
      <c r="F672" s="1" t="s">
        <v>2471</v>
      </c>
      <c r="G672" s="4" t="str">
        <f>HYPERLINK("http://nimonikapp.com/legislations/319368","http://nimonikapp.com/legislations/319368")</f>
        <v>http://nimonikapp.com/legislations/319368</v>
      </c>
      <c r="H672" s="1" t="s">
        <v>18</v>
      </c>
      <c r="I672" s="1" t="s">
        <v>390</v>
      </c>
      <c r="J672" s="1" t="s">
        <v>391</v>
      </c>
      <c r="K672" s="5">
        <v>44735.0</v>
      </c>
      <c r="L672" s="5">
        <v>44735.0</v>
      </c>
      <c r="M672" s="5">
        <v>44740.0</v>
      </c>
    </row>
    <row r="673" hidden="1">
      <c r="A673" s="1" t="s">
        <v>73</v>
      </c>
      <c r="B673" s="1" t="s">
        <v>25</v>
      </c>
      <c r="C673" s="1" t="s">
        <v>1066</v>
      </c>
      <c r="D673" s="1" t="str">
        <f>Vlookup(C673,'Oil &amp; Gas Documents - Canada'!F:M,2,FALSE)</f>
        <v>#N/A</v>
      </c>
      <c r="E673" s="1" t="str">
        <f>Vlookup(C673,'Oil &amp; Gas Documents - Canada'!F:N,9,FALSE)</f>
        <v>#N/A</v>
      </c>
      <c r="F673" s="1" t="s">
        <v>1067</v>
      </c>
      <c r="G673" s="4" t="str">
        <f>HYPERLINK("http://nimonikapp.com/legislations/786","http://nimonikapp.com/legislations/786")</f>
        <v>http://nimonikapp.com/legislations/786</v>
      </c>
      <c r="H673" s="1" t="s">
        <v>18</v>
      </c>
      <c r="I673" s="1" t="s">
        <v>2499</v>
      </c>
      <c r="J673" s="1" t="s">
        <v>2500</v>
      </c>
      <c r="K673" s="5">
        <v>44735.0</v>
      </c>
      <c r="L673" s="5">
        <v>44735.0</v>
      </c>
      <c r="M673" s="5">
        <v>44740.0</v>
      </c>
      <c r="N673" s="1" t="s">
        <v>1068</v>
      </c>
    </row>
    <row r="674" hidden="1">
      <c r="A674" s="1" t="s">
        <v>202</v>
      </c>
      <c r="B674" s="1" t="s">
        <v>15</v>
      </c>
      <c r="C674" s="1" t="s">
        <v>2501</v>
      </c>
      <c r="D674" s="1" t="str">
        <f>Vlookup(C674,'Oil &amp; Gas Documents - Canada'!F:M,2,FALSE)</f>
        <v>#N/A</v>
      </c>
      <c r="E674" s="1" t="str">
        <f>Vlookup(C674,'Oil &amp; Gas Documents - Canada'!F:N,9,FALSE)</f>
        <v>#N/A</v>
      </c>
      <c r="F674" s="1" t="s">
        <v>2502</v>
      </c>
      <c r="G674" s="4" t="str">
        <f>HYPERLINK("http://nimonikapp.com/legislations/355779","http://nimonikapp.com/legislations/355779")</f>
        <v>http://nimonikapp.com/legislations/355779</v>
      </c>
      <c r="H674" s="1" t="s">
        <v>18</v>
      </c>
      <c r="K674" s="5">
        <v>44734.0</v>
      </c>
      <c r="L674" s="5">
        <v>44749.0</v>
      </c>
      <c r="M674" s="5">
        <v>44739.0</v>
      </c>
    </row>
    <row r="675" hidden="1">
      <c r="A675" s="1" t="s">
        <v>202</v>
      </c>
      <c r="B675" s="1" t="s">
        <v>15</v>
      </c>
      <c r="C675" s="1" t="s">
        <v>2503</v>
      </c>
      <c r="D675" s="1" t="str">
        <f>Vlookup(C675,'Oil &amp; Gas Documents - Canada'!F:M,2,FALSE)</f>
        <v>#N/A</v>
      </c>
      <c r="E675" s="1" t="str">
        <f>Vlookup(C675,'Oil &amp; Gas Documents - Canada'!F:N,9,FALSE)</f>
        <v>#N/A</v>
      </c>
      <c r="F675" s="1" t="s">
        <v>2504</v>
      </c>
      <c r="G675" s="4" t="str">
        <f>HYPERLINK("http://nimonikapp.com/legislations/355778","http://nimonikapp.com/legislations/355778")</f>
        <v>http://nimonikapp.com/legislations/355778</v>
      </c>
      <c r="H675" s="1" t="s">
        <v>18</v>
      </c>
      <c r="K675" s="5">
        <v>44734.0</v>
      </c>
      <c r="L675" s="5">
        <v>44749.0</v>
      </c>
      <c r="M675" s="5">
        <v>44739.0</v>
      </c>
    </row>
    <row r="676" hidden="1">
      <c r="A676" s="1" t="s">
        <v>73</v>
      </c>
      <c r="B676" s="1" t="s">
        <v>15</v>
      </c>
      <c r="C676" s="1" t="s">
        <v>2505</v>
      </c>
      <c r="D676" s="1" t="str">
        <f>Vlookup(C676,'Oil &amp; Gas Documents - Canada'!F:M,2,FALSE)</f>
        <v>#N/A</v>
      </c>
      <c r="E676" s="1" t="str">
        <f>Vlookup(C676,'Oil &amp; Gas Documents - Canada'!F:N,9,FALSE)</f>
        <v>#N/A</v>
      </c>
      <c r="F676" s="1" t="s">
        <v>2506</v>
      </c>
      <c r="G676" s="4" t="str">
        <f>HYPERLINK("http://nimonikapp.com/legislations/355784","http://nimonikapp.com/legislations/355784")</f>
        <v>http://nimonikapp.com/legislations/355784</v>
      </c>
      <c r="H676" s="1" t="s">
        <v>18</v>
      </c>
      <c r="K676" s="5">
        <v>44737.0</v>
      </c>
      <c r="L676" s="5">
        <v>44713.0</v>
      </c>
      <c r="M676" s="5">
        <v>44739.0</v>
      </c>
    </row>
    <row r="677" hidden="1">
      <c r="A677" s="1" t="s">
        <v>73</v>
      </c>
      <c r="B677" s="1" t="s">
        <v>15</v>
      </c>
      <c r="C677" s="1" t="s">
        <v>2507</v>
      </c>
      <c r="D677" s="1" t="str">
        <f>Vlookup(C677,'Oil &amp; Gas Documents - Canada'!F:M,2,FALSE)</f>
        <v>#N/A</v>
      </c>
      <c r="E677" s="1" t="str">
        <f>Vlookup(C677,'Oil &amp; Gas Documents - Canada'!F:N,9,FALSE)</f>
        <v>#N/A</v>
      </c>
      <c r="F677" s="1" t="s">
        <v>2508</v>
      </c>
      <c r="G677" s="4" t="str">
        <f>HYPERLINK("http://nimonikapp.com/legislations/355781","http://nimonikapp.com/legislations/355781")</f>
        <v>http://nimonikapp.com/legislations/355781</v>
      </c>
      <c r="H677" s="1" t="s">
        <v>18</v>
      </c>
      <c r="K677" s="5">
        <v>44737.0</v>
      </c>
      <c r="L677" s="5">
        <v>44827.0</v>
      </c>
      <c r="M677" s="5">
        <v>44739.0</v>
      </c>
    </row>
    <row r="678" hidden="1">
      <c r="A678" s="1" t="s">
        <v>73</v>
      </c>
      <c r="B678" s="1" t="s">
        <v>15</v>
      </c>
      <c r="C678" s="1" t="s">
        <v>2509</v>
      </c>
      <c r="D678" s="1" t="str">
        <f>Vlookup(C678,'Oil &amp; Gas Documents - Canada'!F:M,2,FALSE)</f>
        <v>#N/A</v>
      </c>
      <c r="E678" s="1" t="str">
        <f>Vlookup(C678,'Oil &amp; Gas Documents - Canada'!F:N,9,FALSE)</f>
        <v>#N/A</v>
      </c>
      <c r="F678" s="1" t="s">
        <v>2510</v>
      </c>
      <c r="G678" s="4" t="str">
        <f>HYPERLINK("http://nimonikapp.com/legislations/355766","http://nimonikapp.com/legislations/355766")</f>
        <v>http://nimonikapp.com/legislations/355766</v>
      </c>
      <c r="H678" s="1" t="s">
        <v>69</v>
      </c>
      <c r="K678" s="5">
        <v>44737.0</v>
      </c>
      <c r="M678" s="5">
        <v>44739.0</v>
      </c>
    </row>
    <row r="679" hidden="1">
      <c r="A679" s="1" t="s">
        <v>73</v>
      </c>
      <c r="B679" s="1" t="s">
        <v>15</v>
      </c>
      <c r="C679" s="1" t="s">
        <v>2511</v>
      </c>
      <c r="D679" s="1" t="str">
        <f>Vlookup(C679,'Oil &amp; Gas Documents - Canada'!F:M,2,FALSE)</f>
        <v>#N/A</v>
      </c>
      <c r="E679" s="1" t="str">
        <f>Vlookup(C679,'Oil &amp; Gas Documents - Canada'!F:N,9,FALSE)</f>
        <v>#N/A</v>
      </c>
      <c r="F679" s="1" t="s">
        <v>2512</v>
      </c>
      <c r="G679" s="4" t="str">
        <f>HYPERLINK("http://nimonikapp.com/legislations/355765","http://nimonikapp.com/legislations/355765")</f>
        <v>http://nimonikapp.com/legislations/355765</v>
      </c>
      <c r="H679" s="1" t="s">
        <v>69</v>
      </c>
      <c r="K679" s="5">
        <v>44737.0</v>
      </c>
      <c r="M679" s="5">
        <v>44739.0</v>
      </c>
    </row>
    <row r="680" hidden="1">
      <c r="A680" s="1" t="s">
        <v>202</v>
      </c>
      <c r="B680" s="1" t="s">
        <v>25</v>
      </c>
      <c r="C680" s="1" t="s">
        <v>2513</v>
      </c>
      <c r="D680" s="1" t="str">
        <f>Vlookup(C680,'Oil &amp; Gas Documents - Canada'!F:M,2,FALSE)</f>
        <v>#N/A</v>
      </c>
      <c r="E680" s="1" t="str">
        <f>Vlookup(C680,'Oil &amp; Gas Documents - Canada'!F:N,9,FALSE)</f>
        <v>#N/A</v>
      </c>
      <c r="F680" s="1" t="s">
        <v>2514</v>
      </c>
      <c r="G680" s="4" t="str">
        <f>HYPERLINK("http://nimonikapp.com/legislations/10657","http://nimonikapp.com/legislations/10657")</f>
        <v>http://nimonikapp.com/legislations/10657</v>
      </c>
      <c r="H680" s="1" t="s">
        <v>18</v>
      </c>
      <c r="I680" s="1" t="s">
        <v>2515</v>
      </c>
      <c r="J680" s="1" t="s">
        <v>2516</v>
      </c>
      <c r="K680" s="5">
        <v>44715.0</v>
      </c>
      <c r="L680" s="5">
        <v>44715.0</v>
      </c>
      <c r="M680" s="5">
        <v>44739.0</v>
      </c>
      <c r="N680" s="1" t="s">
        <v>2517</v>
      </c>
    </row>
    <row r="681" hidden="1">
      <c r="A681" s="1" t="s">
        <v>202</v>
      </c>
      <c r="B681" s="1" t="s">
        <v>25</v>
      </c>
      <c r="C681" s="1" t="s">
        <v>2518</v>
      </c>
      <c r="D681" s="1" t="str">
        <f>Vlookup(C681,'Oil &amp; Gas Documents - Canada'!F:M,2,FALSE)</f>
        <v>#N/A</v>
      </c>
      <c r="E681" s="1" t="str">
        <f>Vlookup(C681,'Oil &amp; Gas Documents - Canada'!F:N,9,FALSE)</f>
        <v>#N/A</v>
      </c>
      <c r="F681" s="1" t="s">
        <v>2519</v>
      </c>
      <c r="G681" s="4" t="str">
        <f>HYPERLINK("http://nimonikapp.com/legislations/105745","http://nimonikapp.com/legislations/105745")</f>
        <v>http://nimonikapp.com/legislations/105745</v>
      </c>
      <c r="H681" s="1" t="s">
        <v>18</v>
      </c>
      <c r="I681" s="1" t="s">
        <v>2520</v>
      </c>
      <c r="J681" s="1" t="s">
        <v>2521</v>
      </c>
      <c r="K681" s="5">
        <v>44714.0</v>
      </c>
      <c r="L681" s="5">
        <v>44714.0</v>
      </c>
      <c r="M681" s="5">
        <v>44739.0</v>
      </c>
    </row>
    <row r="682" hidden="1">
      <c r="A682" s="1" t="s">
        <v>202</v>
      </c>
      <c r="B682" s="1" t="s">
        <v>25</v>
      </c>
      <c r="C682" s="1" t="s">
        <v>2117</v>
      </c>
      <c r="D682" s="1" t="str">
        <f>Vlookup(C682,'Oil &amp; Gas Documents - Canada'!F:M,2,FALSE)</f>
        <v>#N/A</v>
      </c>
      <c r="E682" s="1" t="str">
        <f>Vlookup(C682,'Oil &amp; Gas Documents - Canada'!F:N,9,FALSE)</f>
        <v>#N/A</v>
      </c>
      <c r="F682" s="1" t="s">
        <v>2118</v>
      </c>
      <c r="G682" s="4" t="str">
        <f>HYPERLINK("http://nimonikapp.com/legislations/14","http://nimonikapp.com/legislations/14")</f>
        <v>http://nimonikapp.com/legislations/14</v>
      </c>
      <c r="H682" s="1" t="s">
        <v>18</v>
      </c>
      <c r="I682" s="1" t="s">
        <v>2520</v>
      </c>
      <c r="J682" s="1" t="s">
        <v>2521</v>
      </c>
      <c r="K682" s="5">
        <v>44714.0</v>
      </c>
      <c r="L682" s="5">
        <v>44714.0</v>
      </c>
      <c r="M682" s="5">
        <v>44739.0</v>
      </c>
    </row>
    <row r="683" hidden="1">
      <c r="A683" s="1" t="s">
        <v>202</v>
      </c>
      <c r="B683" s="1" t="s">
        <v>25</v>
      </c>
      <c r="C683" s="1" t="s">
        <v>2522</v>
      </c>
      <c r="D683" s="1" t="str">
        <f>Vlookup(C683,'Oil &amp; Gas Documents - Canada'!F:M,2,FALSE)</f>
        <v>#N/A</v>
      </c>
      <c r="E683" s="1" t="str">
        <f>Vlookup(C683,'Oil &amp; Gas Documents - Canada'!F:N,9,FALSE)</f>
        <v>#N/A</v>
      </c>
      <c r="F683" s="1" t="s">
        <v>2523</v>
      </c>
      <c r="G683" s="4" t="str">
        <f>HYPERLINK("http://nimonikapp.com/legislations/6626","http://nimonikapp.com/legislations/6626")</f>
        <v>http://nimonikapp.com/legislations/6626</v>
      </c>
      <c r="H683" s="1" t="s">
        <v>18</v>
      </c>
      <c r="I683" s="1" t="s">
        <v>2520</v>
      </c>
      <c r="J683" s="1" t="s">
        <v>2521</v>
      </c>
      <c r="K683" s="5">
        <v>44714.0</v>
      </c>
      <c r="L683" s="5">
        <v>44714.0</v>
      </c>
      <c r="M683" s="5">
        <v>44739.0</v>
      </c>
    </row>
    <row r="684" hidden="1">
      <c r="A684" s="1" t="s">
        <v>202</v>
      </c>
      <c r="B684" s="1" t="s">
        <v>25</v>
      </c>
      <c r="C684" s="1" t="s">
        <v>1151</v>
      </c>
      <c r="D684" s="1" t="str">
        <f>Vlookup(C684,'Oil &amp; Gas Documents - Canada'!F:M,2,FALSE)</f>
        <v>#N/A</v>
      </c>
      <c r="E684" s="1" t="str">
        <f>Vlookup(C684,'Oil &amp; Gas Documents - Canada'!F:N,9,FALSE)</f>
        <v>#N/A</v>
      </c>
      <c r="F684" s="1" t="s">
        <v>1152</v>
      </c>
      <c r="G684" s="4" t="str">
        <f>HYPERLINK("http://nimonikapp.com/legislations/986","http://nimonikapp.com/legislations/986")</f>
        <v>http://nimonikapp.com/legislations/986</v>
      </c>
      <c r="H684" s="1" t="s">
        <v>18</v>
      </c>
      <c r="I684" s="1" t="s">
        <v>2524</v>
      </c>
      <c r="J684" s="1" t="s">
        <v>2525</v>
      </c>
      <c r="K684" s="5">
        <v>44707.0</v>
      </c>
      <c r="L684" s="5">
        <v>43678.0</v>
      </c>
      <c r="M684" s="5">
        <v>44739.0</v>
      </c>
      <c r="N684" s="1" t="s">
        <v>1150</v>
      </c>
    </row>
    <row r="685" hidden="1">
      <c r="A685" s="1" t="s">
        <v>202</v>
      </c>
      <c r="B685" s="1" t="s">
        <v>25</v>
      </c>
      <c r="C685" s="1" t="s">
        <v>2526</v>
      </c>
      <c r="D685" s="1" t="str">
        <f>Vlookup(C685,'Oil &amp; Gas Documents - Canada'!F:M,2,FALSE)</f>
        <v>#N/A</v>
      </c>
      <c r="E685" s="1" t="str">
        <f>Vlookup(C685,'Oil &amp; Gas Documents - Canada'!F:N,9,FALSE)</f>
        <v>#N/A</v>
      </c>
      <c r="F685" s="1" t="s">
        <v>2527</v>
      </c>
      <c r="G685" s="4" t="str">
        <f>HYPERLINK("http://nimonikapp.com/legislations/13","http://nimonikapp.com/legislations/13")</f>
        <v>http://nimonikapp.com/legislations/13</v>
      </c>
      <c r="H685" s="1" t="s">
        <v>18</v>
      </c>
      <c r="I685" s="1" t="s">
        <v>2524</v>
      </c>
      <c r="J685" s="1" t="s">
        <v>2525</v>
      </c>
      <c r="K685" s="5">
        <v>44707.0</v>
      </c>
      <c r="L685" s="5">
        <v>43678.0</v>
      </c>
      <c r="M685" s="5">
        <v>44739.0</v>
      </c>
      <c r="N685" s="1" t="s">
        <v>2528</v>
      </c>
    </row>
    <row r="686" hidden="1">
      <c r="A686" s="1" t="s">
        <v>202</v>
      </c>
      <c r="B686" s="1" t="s">
        <v>25</v>
      </c>
      <c r="C686" s="1" t="s">
        <v>2529</v>
      </c>
      <c r="D686" s="1" t="str">
        <f>Vlookup(C686,'Oil &amp; Gas Documents - Canada'!F:M,2,FALSE)</f>
        <v>#N/A</v>
      </c>
      <c r="E686" s="1" t="str">
        <f>Vlookup(C686,'Oil &amp; Gas Documents - Canada'!F:N,9,FALSE)</f>
        <v>#N/A</v>
      </c>
      <c r="F686" s="1" t="s">
        <v>2530</v>
      </c>
      <c r="G686" s="4" t="str">
        <f>HYPERLINK("http://nimonikapp.com/legislations/6627","http://nimonikapp.com/legislations/6627")</f>
        <v>http://nimonikapp.com/legislations/6627</v>
      </c>
      <c r="H686" s="1" t="s">
        <v>18</v>
      </c>
      <c r="I686" s="1" t="s">
        <v>2524</v>
      </c>
      <c r="J686" s="1" t="s">
        <v>2525</v>
      </c>
      <c r="K686" s="5">
        <v>44707.0</v>
      </c>
      <c r="L686" s="5">
        <v>43678.0</v>
      </c>
      <c r="M686" s="5">
        <v>44739.0</v>
      </c>
    </row>
    <row r="687" hidden="1">
      <c r="A687" s="1" t="s">
        <v>202</v>
      </c>
      <c r="B687" s="1" t="s">
        <v>25</v>
      </c>
      <c r="C687" s="1" t="s">
        <v>2053</v>
      </c>
      <c r="D687" s="1" t="str">
        <f>Vlookup(C687,'Oil &amp; Gas Documents - Canada'!F:M,2,FALSE)</f>
        <v>#N/A</v>
      </c>
      <c r="E687" s="1" t="str">
        <f>Vlookup(C687,'Oil &amp; Gas Documents - Canada'!F:N,9,FALSE)</f>
        <v>#N/A</v>
      </c>
      <c r="F687" s="1" t="s">
        <v>2054</v>
      </c>
      <c r="G687" s="4" t="str">
        <f>HYPERLINK("http://nimonikapp.com/legislations/16","http://nimonikapp.com/legislations/16")</f>
        <v>http://nimonikapp.com/legislations/16</v>
      </c>
      <c r="H687" s="1" t="s">
        <v>18</v>
      </c>
      <c r="I687" s="1" t="s">
        <v>2524</v>
      </c>
      <c r="J687" s="1" t="s">
        <v>2525</v>
      </c>
      <c r="K687" s="5">
        <v>44707.0</v>
      </c>
      <c r="L687" s="5">
        <v>43678.0</v>
      </c>
      <c r="M687" s="5">
        <v>44739.0</v>
      </c>
      <c r="N687" s="1" t="s">
        <v>2057</v>
      </c>
    </row>
    <row r="688" hidden="1">
      <c r="A688" s="1" t="s">
        <v>202</v>
      </c>
      <c r="B688" s="1" t="s">
        <v>25</v>
      </c>
      <c r="C688" s="1" t="s">
        <v>2067</v>
      </c>
      <c r="D688" s="1" t="str">
        <f>Vlookup(C688,'Oil &amp; Gas Documents - Canada'!F:M,2,FALSE)</f>
        <v>#N/A</v>
      </c>
      <c r="E688" s="1" t="str">
        <f>Vlookup(C688,'Oil &amp; Gas Documents - Canada'!F:N,9,FALSE)</f>
        <v>#N/A</v>
      </c>
      <c r="F688" s="1" t="s">
        <v>2068</v>
      </c>
      <c r="G688" s="4" t="str">
        <f>HYPERLINK("http://nimonikapp.com/legislations/212","http://nimonikapp.com/legislations/212")</f>
        <v>http://nimonikapp.com/legislations/212</v>
      </c>
      <c r="H688" s="1" t="s">
        <v>18</v>
      </c>
      <c r="I688" s="1" t="s">
        <v>2531</v>
      </c>
      <c r="J688" s="1" t="s">
        <v>2532</v>
      </c>
      <c r="K688" s="5">
        <v>44722.0</v>
      </c>
      <c r="L688" s="5">
        <v>44722.0</v>
      </c>
      <c r="M688" s="5">
        <v>44739.0</v>
      </c>
      <c r="N688" s="1" t="s">
        <v>2069</v>
      </c>
    </row>
    <row r="689" hidden="1">
      <c r="A689" s="1" t="s">
        <v>202</v>
      </c>
      <c r="B689" s="1" t="s">
        <v>25</v>
      </c>
      <c r="C689" s="1" t="s">
        <v>1146</v>
      </c>
      <c r="D689" s="1" t="str">
        <f>Vlookup(C689,'Oil &amp; Gas Documents - Canada'!F:M,2,FALSE)</f>
        <v>#N/A</v>
      </c>
      <c r="E689" s="1" t="str">
        <f>Vlookup(C689,'Oil &amp; Gas Documents - Canada'!F:N,9,FALSE)</f>
        <v>#N/A</v>
      </c>
      <c r="F689" s="1" t="s">
        <v>1147</v>
      </c>
      <c r="G689" s="4" t="str">
        <f>HYPERLINK("http://nimonikapp.com/legislations/989","http://nimonikapp.com/legislations/989")</f>
        <v>http://nimonikapp.com/legislations/989</v>
      </c>
      <c r="H689" s="1" t="s">
        <v>18</v>
      </c>
      <c r="I689" s="1" t="s">
        <v>2533</v>
      </c>
      <c r="J689" s="1" t="s">
        <v>2534</v>
      </c>
      <c r="K689" s="5">
        <v>44734.0</v>
      </c>
      <c r="L689" s="5">
        <v>44927.0</v>
      </c>
      <c r="M689" s="5">
        <v>44739.0</v>
      </c>
      <c r="N689" s="1" t="s">
        <v>1150</v>
      </c>
    </row>
    <row r="690" hidden="1">
      <c r="A690" s="1" t="s">
        <v>202</v>
      </c>
      <c r="B690" s="1" t="s">
        <v>25</v>
      </c>
      <c r="C690" s="1" t="s">
        <v>1151</v>
      </c>
      <c r="D690" s="1" t="str">
        <f>Vlookup(C690,'Oil &amp; Gas Documents - Canada'!F:M,2,FALSE)</f>
        <v>#N/A</v>
      </c>
      <c r="E690" s="1" t="str">
        <f>Vlookup(C690,'Oil &amp; Gas Documents - Canada'!F:N,9,FALSE)</f>
        <v>#N/A</v>
      </c>
      <c r="F690" s="1" t="s">
        <v>1152</v>
      </c>
      <c r="G690" s="4" t="str">
        <f>HYPERLINK("http://nimonikapp.com/legislations/986","http://nimonikapp.com/legislations/986")</f>
        <v>http://nimonikapp.com/legislations/986</v>
      </c>
      <c r="H690" s="1" t="s">
        <v>18</v>
      </c>
      <c r="I690" s="1" t="s">
        <v>2535</v>
      </c>
      <c r="J690" s="1" t="s">
        <v>2536</v>
      </c>
      <c r="K690" s="5">
        <v>44734.0</v>
      </c>
      <c r="L690" s="5">
        <v>44749.0</v>
      </c>
      <c r="M690" s="5">
        <v>44739.0</v>
      </c>
      <c r="N690" s="1" t="s">
        <v>1150</v>
      </c>
    </row>
    <row r="691" hidden="1">
      <c r="A691" s="1" t="s">
        <v>202</v>
      </c>
      <c r="B691" s="1" t="s">
        <v>25</v>
      </c>
      <c r="C691" s="1" t="s">
        <v>2537</v>
      </c>
      <c r="D691" s="1" t="str">
        <f>Vlookup(C691,'Oil &amp; Gas Documents - Canada'!F:M,2,FALSE)</f>
        <v>#N/A</v>
      </c>
      <c r="E691" s="1" t="str">
        <f>Vlookup(C691,'Oil &amp; Gas Documents - Canada'!F:N,9,FALSE)</f>
        <v>#N/A</v>
      </c>
      <c r="F691" s="1" t="s">
        <v>2538</v>
      </c>
      <c r="G691" s="4" t="str">
        <f>HYPERLINK("http://nimonikapp.com/legislations/285676","http://nimonikapp.com/legislations/285676")</f>
        <v>http://nimonikapp.com/legislations/285676</v>
      </c>
      <c r="H691" s="1" t="s">
        <v>18</v>
      </c>
      <c r="I691" s="1" t="s">
        <v>2539</v>
      </c>
      <c r="J691" s="1" t="s">
        <v>2540</v>
      </c>
      <c r="K691" s="5">
        <v>44735.0</v>
      </c>
      <c r="L691" s="5">
        <v>44735.0</v>
      </c>
      <c r="M691" s="5">
        <v>44739.0</v>
      </c>
      <c r="N691" s="1" t="s">
        <v>2541</v>
      </c>
    </row>
    <row r="692" hidden="1">
      <c r="A692" s="1" t="s">
        <v>202</v>
      </c>
      <c r="B692" s="1" t="s">
        <v>25</v>
      </c>
      <c r="C692" s="1" t="s">
        <v>2513</v>
      </c>
      <c r="D692" s="1" t="str">
        <f>Vlookup(C692,'Oil &amp; Gas Documents - Canada'!F:M,2,FALSE)</f>
        <v>#N/A</v>
      </c>
      <c r="E692" s="1" t="str">
        <f>Vlookup(C692,'Oil &amp; Gas Documents - Canada'!F:N,9,FALSE)</f>
        <v>#N/A</v>
      </c>
      <c r="F692" s="1" t="s">
        <v>2514</v>
      </c>
      <c r="G692" s="4" t="str">
        <f>HYPERLINK("http://nimonikapp.com/legislations/10657","http://nimonikapp.com/legislations/10657")</f>
        <v>http://nimonikapp.com/legislations/10657</v>
      </c>
      <c r="H692" s="1" t="s">
        <v>18</v>
      </c>
      <c r="I692" s="1" t="s">
        <v>2542</v>
      </c>
      <c r="J692" s="1" t="s">
        <v>2543</v>
      </c>
      <c r="K692" s="5">
        <v>44737.0</v>
      </c>
      <c r="M692" s="5">
        <v>44739.0</v>
      </c>
      <c r="N692" s="1" t="s">
        <v>2517</v>
      </c>
    </row>
    <row r="693" hidden="1">
      <c r="A693" s="1" t="s">
        <v>73</v>
      </c>
      <c r="B693" s="1" t="s">
        <v>364</v>
      </c>
      <c r="C693" s="1" t="s">
        <v>2544</v>
      </c>
      <c r="D693" s="1" t="str">
        <f>Vlookup(C693,'Oil &amp; Gas Documents - Canada'!F:M,2,FALSE)</f>
        <v>#N/A</v>
      </c>
      <c r="E693" s="1" t="str">
        <f>Vlookup(C693,'Oil &amp; Gas Documents - Canada'!F:N,9,FALSE)</f>
        <v>#N/A</v>
      </c>
      <c r="F693" s="1" t="s">
        <v>2545</v>
      </c>
      <c r="G693" s="4" t="str">
        <f>HYPERLINK("http://nimonikapp.com/legislations/353042","http://nimonikapp.com/legislations/353042")</f>
        <v>http://nimonikapp.com/legislations/353042</v>
      </c>
      <c r="H693" s="1" t="s">
        <v>356</v>
      </c>
      <c r="I693" s="1" t="s">
        <v>2546</v>
      </c>
      <c r="J693" s="1" t="s">
        <v>2547</v>
      </c>
      <c r="K693" s="5">
        <v>44737.0</v>
      </c>
      <c r="L693" s="5">
        <v>44726.0</v>
      </c>
      <c r="M693" s="5">
        <v>44739.0</v>
      </c>
      <c r="N693" s="1" t="s">
        <v>2548</v>
      </c>
    </row>
    <row r="694" hidden="1">
      <c r="A694" s="1" t="s">
        <v>73</v>
      </c>
      <c r="B694" s="1" t="s">
        <v>364</v>
      </c>
      <c r="C694" s="1" t="s">
        <v>2549</v>
      </c>
      <c r="D694" s="1" t="str">
        <f>Vlookup(C694,'Oil &amp; Gas Documents - Canada'!F:M,2,FALSE)</f>
        <v>#N/A</v>
      </c>
      <c r="E694" s="1" t="str">
        <f>Vlookup(C694,'Oil &amp; Gas Documents - Canada'!F:N,9,FALSE)</f>
        <v>#N/A</v>
      </c>
      <c r="F694" s="1" t="s">
        <v>2550</v>
      </c>
      <c r="G694" s="4" t="str">
        <f>HYPERLINK("http://nimonikapp.com/legislations/353043","http://nimonikapp.com/legislations/353043")</f>
        <v>http://nimonikapp.com/legislations/353043</v>
      </c>
      <c r="H694" s="1" t="s">
        <v>356</v>
      </c>
      <c r="I694" s="1" t="s">
        <v>2176</v>
      </c>
      <c r="J694" s="1" t="s">
        <v>2177</v>
      </c>
      <c r="K694" s="5">
        <v>44737.0</v>
      </c>
      <c r="L694" s="5">
        <v>44726.0</v>
      </c>
      <c r="M694" s="5">
        <v>44739.0</v>
      </c>
      <c r="N694" s="1" t="s">
        <v>2551</v>
      </c>
    </row>
    <row r="695" hidden="1">
      <c r="A695" s="1" t="s">
        <v>73</v>
      </c>
      <c r="B695" s="1" t="s">
        <v>15</v>
      </c>
      <c r="C695" s="1" t="s">
        <v>2552</v>
      </c>
      <c r="D695" s="1" t="str">
        <f>Vlookup(C695,'Oil &amp; Gas Documents - Canada'!F:M,2,FALSE)</f>
        <v>#N/A</v>
      </c>
      <c r="E695" s="1" t="str">
        <f>Vlookup(C695,'Oil &amp; Gas Documents - Canada'!F:N,9,FALSE)</f>
        <v>#N/A</v>
      </c>
      <c r="F695" s="1" t="s">
        <v>2553</v>
      </c>
      <c r="G695" s="4" t="str">
        <f>HYPERLINK("http://nimonikapp.com/legislations/355525","http://nimonikapp.com/legislations/355525")</f>
        <v>http://nimonikapp.com/legislations/355525</v>
      </c>
      <c r="H695" s="1" t="s">
        <v>18</v>
      </c>
      <c r="K695" s="5">
        <v>44734.0</v>
      </c>
      <c r="L695" s="5">
        <v>44721.0</v>
      </c>
      <c r="M695" s="5">
        <v>44735.0</v>
      </c>
    </row>
    <row r="696" hidden="1">
      <c r="A696" s="1" t="s">
        <v>73</v>
      </c>
      <c r="B696" s="1" t="s">
        <v>25</v>
      </c>
      <c r="C696" s="1" t="s">
        <v>2554</v>
      </c>
      <c r="D696" s="1" t="str">
        <f>Vlookup(C696,'Oil &amp; Gas Documents - Canada'!F:M,2,FALSE)</f>
        <v>#N/A</v>
      </c>
      <c r="E696" s="1" t="str">
        <f>Vlookup(C696,'Oil &amp; Gas Documents - Canada'!F:N,9,FALSE)</f>
        <v>#N/A</v>
      </c>
      <c r="F696" s="1" t="s">
        <v>2555</v>
      </c>
      <c r="G696" s="4" t="str">
        <f>HYPERLINK("http://nimonikapp.com/legislations/317150","http://nimonikapp.com/legislations/317150")</f>
        <v>http://nimonikapp.com/legislations/317150</v>
      </c>
      <c r="H696" s="1" t="s">
        <v>18</v>
      </c>
      <c r="I696" s="1" t="s">
        <v>2556</v>
      </c>
      <c r="J696" s="1" t="s">
        <v>2557</v>
      </c>
      <c r="K696" s="5">
        <v>44734.0</v>
      </c>
      <c r="L696" s="5">
        <v>44914.0</v>
      </c>
      <c r="M696" s="5">
        <v>44735.0</v>
      </c>
      <c r="N696" s="1" t="s">
        <v>2558</v>
      </c>
    </row>
    <row r="697" hidden="1">
      <c r="A697" s="1" t="s">
        <v>73</v>
      </c>
      <c r="B697" s="1" t="s">
        <v>25</v>
      </c>
      <c r="C697" s="1" t="s">
        <v>2559</v>
      </c>
      <c r="D697" s="1" t="str">
        <f>Vlookup(C697,'Oil &amp; Gas Documents - Canada'!F:M,2,FALSE)</f>
        <v>#N/A</v>
      </c>
      <c r="E697" s="1" t="str">
        <f>Vlookup(C697,'Oil &amp; Gas Documents - Canada'!F:N,9,FALSE)</f>
        <v>#N/A</v>
      </c>
      <c r="F697" s="1" t="s">
        <v>2560</v>
      </c>
      <c r="G697" s="4" t="str">
        <f>HYPERLINK("http://nimonikapp.com/legislations/127024","http://nimonikapp.com/legislations/127024")</f>
        <v>http://nimonikapp.com/legislations/127024</v>
      </c>
      <c r="H697" s="1" t="s">
        <v>18</v>
      </c>
      <c r="I697" s="1" t="s">
        <v>2561</v>
      </c>
      <c r="J697" s="1" t="s">
        <v>2562</v>
      </c>
      <c r="K697" s="5">
        <v>44734.0</v>
      </c>
      <c r="L697" s="5">
        <v>44812.0</v>
      </c>
      <c r="M697" s="5">
        <v>44735.0</v>
      </c>
      <c r="N697" s="1" t="s">
        <v>2563</v>
      </c>
    </row>
    <row r="698" hidden="1">
      <c r="A698" s="1" t="s">
        <v>73</v>
      </c>
      <c r="B698" s="1" t="s">
        <v>25</v>
      </c>
      <c r="C698" s="1" t="s">
        <v>1033</v>
      </c>
      <c r="D698" s="1" t="str">
        <f>Vlookup(C698,'Oil &amp; Gas Documents - Canada'!F:M,2,FALSE)</f>
        <v>#N/A</v>
      </c>
      <c r="E698" s="1" t="str">
        <f>Vlookup(C698,'Oil &amp; Gas Documents - Canada'!F:N,9,FALSE)</f>
        <v>#N/A</v>
      </c>
      <c r="F698" s="1" t="s">
        <v>1034</v>
      </c>
      <c r="G698" s="4" t="str">
        <f t="shared" ref="G698:G699" si="16">HYPERLINK("http://nimonikapp.com/legislations/895","http://nimonikapp.com/legislations/895")</f>
        <v>http://nimonikapp.com/legislations/895</v>
      </c>
      <c r="H698" s="1" t="s">
        <v>18</v>
      </c>
      <c r="I698" s="1" t="s">
        <v>2564</v>
      </c>
      <c r="J698" s="1" t="s">
        <v>2565</v>
      </c>
      <c r="K698" s="5">
        <v>44734.0</v>
      </c>
      <c r="L698" s="5">
        <v>44720.0</v>
      </c>
      <c r="M698" s="5">
        <v>44735.0</v>
      </c>
      <c r="N698" s="1" t="s">
        <v>1037</v>
      </c>
    </row>
    <row r="699" hidden="1">
      <c r="A699" s="1" t="s">
        <v>73</v>
      </c>
      <c r="B699" s="1" t="s">
        <v>25</v>
      </c>
      <c r="C699" s="1" t="s">
        <v>1033</v>
      </c>
      <c r="D699" s="1" t="str">
        <f>Vlookup(C699,'Oil &amp; Gas Documents - Canada'!F:M,2,FALSE)</f>
        <v>#N/A</v>
      </c>
      <c r="E699" s="1" t="str">
        <f>Vlookup(C699,'Oil &amp; Gas Documents - Canada'!F:N,9,FALSE)</f>
        <v>#N/A</v>
      </c>
      <c r="F699" s="1" t="s">
        <v>1034</v>
      </c>
      <c r="G699" s="4" t="str">
        <f t="shared" si="16"/>
        <v>http://nimonikapp.com/legislations/895</v>
      </c>
      <c r="H699" s="1" t="s">
        <v>18</v>
      </c>
      <c r="I699" s="1" t="s">
        <v>2566</v>
      </c>
      <c r="J699" s="1" t="s">
        <v>2567</v>
      </c>
      <c r="K699" s="5">
        <v>44734.0</v>
      </c>
      <c r="L699" s="5">
        <v>44725.0</v>
      </c>
      <c r="M699" s="5">
        <v>44735.0</v>
      </c>
      <c r="N699" s="1" t="s">
        <v>1037</v>
      </c>
    </row>
    <row r="700" hidden="1">
      <c r="A700" s="1" t="s">
        <v>73</v>
      </c>
      <c r="B700" s="1" t="s">
        <v>25</v>
      </c>
      <c r="C700" s="1" t="s">
        <v>2568</v>
      </c>
      <c r="D700" s="1" t="str">
        <f>Vlookup(C700,'Oil &amp; Gas Documents - Canada'!F:M,2,FALSE)</f>
        <v>#N/A</v>
      </c>
      <c r="E700" s="1" t="str">
        <f>Vlookup(C700,'Oil &amp; Gas Documents - Canada'!F:N,9,FALSE)</f>
        <v>#N/A</v>
      </c>
      <c r="F700" s="1" t="s">
        <v>2569</v>
      </c>
      <c r="G700" s="4" t="str">
        <f>HYPERLINK("http://nimonikapp.com/legislations/4119","http://nimonikapp.com/legislations/4119")</f>
        <v>http://nimonikapp.com/legislations/4119</v>
      </c>
      <c r="H700" s="1" t="s">
        <v>18</v>
      </c>
      <c r="I700" s="1" t="s">
        <v>2570</v>
      </c>
      <c r="J700" s="1" t="s">
        <v>2571</v>
      </c>
      <c r="K700" s="5">
        <v>44734.0</v>
      </c>
      <c r="L700" s="5">
        <v>45080.0</v>
      </c>
      <c r="M700" s="5">
        <v>44735.0</v>
      </c>
      <c r="N700" s="1" t="s">
        <v>2572</v>
      </c>
    </row>
    <row r="701" hidden="1">
      <c r="A701" s="1" t="s">
        <v>73</v>
      </c>
      <c r="B701" s="1" t="s">
        <v>25</v>
      </c>
      <c r="C701" s="1" t="s">
        <v>1045</v>
      </c>
      <c r="D701" s="1" t="str">
        <f>Vlookup(C701,'Oil &amp; Gas Documents - Canada'!F:M,2,FALSE)</f>
        <v>#N/A</v>
      </c>
      <c r="E701" s="1" t="str">
        <f>Vlookup(C701,'Oil &amp; Gas Documents - Canada'!F:N,9,FALSE)</f>
        <v>#N/A</v>
      </c>
      <c r="F701" s="1" t="s">
        <v>1046</v>
      </c>
      <c r="G701" s="4" t="str">
        <f>HYPERLINK("http://nimonikapp.com/legislations/321966","http://nimonikapp.com/legislations/321966")</f>
        <v>http://nimonikapp.com/legislations/321966</v>
      </c>
      <c r="H701" s="1" t="s">
        <v>18</v>
      </c>
      <c r="I701" s="1" t="s">
        <v>2573</v>
      </c>
      <c r="J701" s="1" t="s">
        <v>1048</v>
      </c>
      <c r="K701" s="5">
        <v>44734.0</v>
      </c>
      <c r="L701" s="5">
        <v>44719.0</v>
      </c>
      <c r="M701" s="5">
        <v>44735.0</v>
      </c>
      <c r="N701" s="1" t="s">
        <v>1049</v>
      </c>
    </row>
    <row r="702" hidden="1">
      <c r="A702" s="1" t="s">
        <v>73</v>
      </c>
      <c r="B702" s="1" t="s">
        <v>25</v>
      </c>
      <c r="C702" s="1" t="s">
        <v>2232</v>
      </c>
      <c r="D702" s="1" t="str">
        <f>Vlookup(C702,'Oil &amp; Gas Documents - Canada'!F:M,2,FALSE)</f>
        <v>#N/A</v>
      </c>
      <c r="E702" s="1" t="str">
        <f>Vlookup(C702,'Oil &amp; Gas Documents - Canada'!F:N,9,FALSE)</f>
        <v>#N/A</v>
      </c>
      <c r="F702" s="1" t="s">
        <v>2233</v>
      </c>
      <c r="G702" s="4" t="str">
        <f>HYPERLINK("http://nimonikapp.com/legislations/13492","http://nimonikapp.com/legislations/13492")</f>
        <v>http://nimonikapp.com/legislations/13492</v>
      </c>
      <c r="H702" s="1" t="s">
        <v>18</v>
      </c>
      <c r="I702" s="1" t="s">
        <v>2574</v>
      </c>
      <c r="J702" s="1" t="s">
        <v>2575</v>
      </c>
      <c r="K702" s="5">
        <v>44734.0</v>
      </c>
      <c r="L702" s="5">
        <v>44722.0</v>
      </c>
      <c r="M702" s="5">
        <v>44735.0</v>
      </c>
      <c r="N702" s="1" t="s">
        <v>2234</v>
      </c>
    </row>
    <row r="703" hidden="1">
      <c r="A703" s="1" t="s">
        <v>73</v>
      </c>
      <c r="B703" s="1" t="s">
        <v>25</v>
      </c>
      <c r="C703" s="1" t="s">
        <v>2576</v>
      </c>
      <c r="D703" s="1" t="str">
        <f>Vlookup(C703,'Oil &amp; Gas Documents - Canada'!F:M,2,FALSE)</f>
        <v>#N/A</v>
      </c>
      <c r="E703" s="1" t="str">
        <f>Vlookup(C703,'Oil &amp; Gas Documents - Canada'!F:N,9,FALSE)</f>
        <v>#N/A</v>
      </c>
      <c r="F703" s="1" t="s">
        <v>2577</v>
      </c>
      <c r="G703" s="4" t="str">
        <f>HYPERLINK("http://nimonikapp.com/legislations/1205","http://nimonikapp.com/legislations/1205")</f>
        <v>http://nimonikapp.com/legislations/1205</v>
      </c>
      <c r="H703" s="1" t="s">
        <v>18</v>
      </c>
      <c r="I703" s="1" t="s">
        <v>2574</v>
      </c>
      <c r="J703" s="1" t="s">
        <v>2575</v>
      </c>
      <c r="K703" s="5">
        <v>44734.0</v>
      </c>
      <c r="L703" s="5">
        <v>44722.0</v>
      </c>
      <c r="M703" s="5">
        <v>44735.0</v>
      </c>
      <c r="N703" s="1" t="s">
        <v>2578</v>
      </c>
    </row>
    <row r="704" hidden="1">
      <c r="A704" s="1" t="s">
        <v>73</v>
      </c>
      <c r="B704" s="1" t="s">
        <v>25</v>
      </c>
      <c r="C704" s="1" t="s">
        <v>2579</v>
      </c>
      <c r="D704" s="1" t="str">
        <f>Vlookup(C704,'Oil &amp; Gas Documents - Canada'!F:M,2,FALSE)</f>
        <v>#N/A</v>
      </c>
      <c r="E704" s="1" t="str">
        <f>Vlookup(C704,'Oil &amp; Gas Documents - Canada'!F:N,9,FALSE)</f>
        <v>#N/A</v>
      </c>
      <c r="F704" s="1" t="s">
        <v>2580</v>
      </c>
      <c r="G704" s="4" t="str">
        <f>HYPERLINK("http://nimonikapp.com/legislations/321873","http://nimonikapp.com/legislations/321873")</f>
        <v>http://nimonikapp.com/legislations/321873</v>
      </c>
      <c r="H704" s="1" t="s">
        <v>18</v>
      </c>
      <c r="I704" s="1" t="s">
        <v>2581</v>
      </c>
      <c r="J704" s="1" t="s">
        <v>2582</v>
      </c>
      <c r="K704" s="5">
        <v>44734.0</v>
      </c>
      <c r="L704" s="5">
        <v>44743.0</v>
      </c>
      <c r="M704" s="5">
        <v>44735.0</v>
      </c>
      <c r="N704" s="1" t="s">
        <v>2583</v>
      </c>
    </row>
    <row r="705" hidden="1">
      <c r="A705" s="1" t="s">
        <v>73</v>
      </c>
      <c r="B705" s="1" t="s">
        <v>25</v>
      </c>
      <c r="C705" s="1" t="s">
        <v>2584</v>
      </c>
      <c r="D705" s="1" t="str">
        <f>Vlookup(C705,'Oil &amp; Gas Documents - Canada'!F:M,2,FALSE)</f>
        <v>#N/A</v>
      </c>
      <c r="E705" s="1" t="str">
        <f>Vlookup(C705,'Oil &amp; Gas Documents - Canada'!F:N,9,FALSE)</f>
        <v>#N/A</v>
      </c>
      <c r="F705" s="1" t="s">
        <v>2585</v>
      </c>
      <c r="G705" s="4" t="str">
        <f>HYPERLINK("http://nimonikapp.com/legislations/1593","http://nimonikapp.com/legislations/1593")</f>
        <v>http://nimonikapp.com/legislations/1593</v>
      </c>
      <c r="H705" s="1" t="s">
        <v>18</v>
      </c>
      <c r="I705" s="1" t="s">
        <v>2586</v>
      </c>
      <c r="J705" s="1" t="s">
        <v>2587</v>
      </c>
      <c r="K705" s="5">
        <v>44734.0</v>
      </c>
      <c r="L705" s="5">
        <v>44917.0</v>
      </c>
      <c r="M705" s="5">
        <v>44735.0</v>
      </c>
      <c r="N705" s="1" t="s">
        <v>2588</v>
      </c>
    </row>
    <row r="706" hidden="1">
      <c r="A706" s="1" t="s">
        <v>73</v>
      </c>
      <c r="B706" s="1" t="s">
        <v>25</v>
      </c>
      <c r="C706" s="1" t="s">
        <v>2589</v>
      </c>
      <c r="D706" s="1" t="str">
        <f>Vlookup(C706,'Oil &amp; Gas Documents - Canada'!F:M,2,FALSE)</f>
        <v>#N/A</v>
      </c>
      <c r="E706" s="1" t="str">
        <f>Vlookup(C706,'Oil &amp; Gas Documents - Canada'!F:N,9,FALSE)</f>
        <v>#N/A</v>
      </c>
      <c r="F706" s="1" t="s">
        <v>2590</v>
      </c>
      <c r="G706" s="4" t="str">
        <f>HYPERLINK("http://nimonikapp.com/legislations/13493","http://nimonikapp.com/legislations/13493")</f>
        <v>http://nimonikapp.com/legislations/13493</v>
      </c>
      <c r="H706" s="1" t="s">
        <v>18</v>
      </c>
      <c r="I706" s="1" t="s">
        <v>2591</v>
      </c>
      <c r="J706" s="1" t="s">
        <v>2592</v>
      </c>
      <c r="K706" s="5">
        <v>44734.0</v>
      </c>
      <c r="L706" s="5">
        <v>44915.0</v>
      </c>
      <c r="M706" s="5">
        <v>44735.0</v>
      </c>
      <c r="N706" s="1" t="s">
        <v>2593</v>
      </c>
    </row>
    <row r="707" hidden="1">
      <c r="A707" s="1" t="s">
        <v>66</v>
      </c>
      <c r="B707" s="1" t="s">
        <v>15</v>
      </c>
      <c r="C707" s="1" t="s">
        <v>2594</v>
      </c>
      <c r="D707" s="1" t="str">
        <f>Vlookup(C707,'Oil &amp; Gas Documents - Canada'!F:M,2,FALSE)</f>
        <v>#N/A</v>
      </c>
      <c r="E707" s="1" t="str">
        <f>Vlookup(C707,'Oil &amp; Gas Documents - Canada'!F:N,9,FALSE)</f>
        <v>#N/A</v>
      </c>
      <c r="F707" s="1" t="s">
        <v>2595</v>
      </c>
      <c r="G707" s="4" t="str">
        <f>HYPERLINK("http://nimonikapp.com/legislations/355301","http://nimonikapp.com/legislations/355301")</f>
        <v>http://nimonikapp.com/legislations/355301</v>
      </c>
      <c r="H707" s="1" t="s">
        <v>52</v>
      </c>
      <c r="K707" s="5">
        <v>44722.0</v>
      </c>
      <c r="M707" s="5">
        <v>44734.0</v>
      </c>
    </row>
    <row r="708">
      <c r="A708" s="1" t="s">
        <v>73</v>
      </c>
      <c r="B708" s="1" t="s">
        <v>15</v>
      </c>
      <c r="C708" s="1" t="s">
        <v>393</v>
      </c>
      <c r="D708" s="1" t="str">
        <f>Vlookup(C708,'Oil &amp; Gas Documents - Canada'!F:M,2,FALSE)</f>
        <v>oil_and_gas, water_transportation</v>
      </c>
      <c r="E708" s="1" t="str">
        <f>Vlookup(C708,'Oil &amp; Gas Documents - Canada'!F:N,9,FALSE)</f>
        <v/>
      </c>
      <c r="F708" s="1" t="s">
        <v>392</v>
      </c>
      <c r="G708" s="4" t="str">
        <f>HYPERLINK("http://nimonikapp.com/legislations/355290","http://nimonikapp.com/legislations/355290")</f>
        <v>http://nimonikapp.com/legislations/355290</v>
      </c>
      <c r="H708" s="1" t="s">
        <v>69</v>
      </c>
      <c r="K708" s="5">
        <v>44729.0</v>
      </c>
      <c r="M708" s="5">
        <v>44734.0</v>
      </c>
    </row>
    <row r="709" hidden="1">
      <c r="A709" s="1" t="s">
        <v>66</v>
      </c>
      <c r="B709" s="1" t="s">
        <v>25</v>
      </c>
      <c r="C709" s="1" t="s">
        <v>2596</v>
      </c>
      <c r="D709" s="1" t="str">
        <f>Vlookup(C709,'Oil &amp; Gas Documents - Canada'!F:M,2,FALSE)</f>
        <v>#N/A</v>
      </c>
      <c r="E709" s="1" t="str">
        <f>Vlookup(C709,'Oil &amp; Gas Documents - Canada'!F:N,9,FALSE)</f>
        <v>#N/A</v>
      </c>
      <c r="F709" s="1" t="s">
        <v>1354</v>
      </c>
      <c r="G709" s="4" t="str">
        <f>HYPERLINK("http://nimonikapp.com/legislations/3991","http://nimonikapp.com/legislations/3991")</f>
        <v>http://nimonikapp.com/legislations/3991</v>
      </c>
      <c r="H709" s="1" t="s">
        <v>18</v>
      </c>
      <c r="I709" s="1" t="s">
        <v>2597</v>
      </c>
      <c r="J709" s="1" t="s">
        <v>2598</v>
      </c>
      <c r="K709" s="5">
        <v>44722.0</v>
      </c>
      <c r="L709" s="5">
        <v>44722.0</v>
      </c>
      <c r="M709" s="5">
        <v>44734.0</v>
      </c>
      <c r="N709" s="1" t="s">
        <v>2599</v>
      </c>
    </row>
    <row r="710" hidden="1">
      <c r="A710" s="1" t="s">
        <v>66</v>
      </c>
      <c r="B710" s="1" t="s">
        <v>25</v>
      </c>
      <c r="C710" s="1" t="s">
        <v>2600</v>
      </c>
      <c r="D710" s="1" t="str">
        <f>Vlookup(C710,'Oil &amp; Gas Documents - Canada'!F:M,2,FALSE)</f>
        <v>#N/A</v>
      </c>
      <c r="E710" s="1" t="str">
        <f>Vlookup(C710,'Oil &amp; Gas Documents - Canada'!F:N,9,FALSE)</f>
        <v>#N/A</v>
      </c>
      <c r="F710" s="1" t="s">
        <v>1533</v>
      </c>
      <c r="G710" s="4" t="str">
        <f>HYPERLINK("http://nimonikapp.com/legislations/15077","http://nimonikapp.com/legislations/15077")</f>
        <v>http://nimonikapp.com/legislations/15077</v>
      </c>
      <c r="H710" s="1" t="s">
        <v>18</v>
      </c>
      <c r="I710" s="1" t="s">
        <v>2601</v>
      </c>
      <c r="J710" s="1" t="s">
        <v>2602</v>
      </c>
      <c r="K710" s="5">
        <v>44722.0</v>
      </c>
      <c r="L710" s="5">
        <v>44722.0</v>
      </c>
      <c r="M710" s="5">
        <v>44734.0</v>
      </c>
      <c r="N710" s="1" t="s">
        <v>2603</v>
      </c>
    </row>
    <row r="711" hidden="1">
      <c r="A711" s="1" t="s">
        <v>66</v>
      </c>
      <c r="B711" s="1" t="s">
        <v>25</v>
      </c>
      <c r="C711" s="1" t="s">
        <v>2604</v>
      </c>
      <c r="D711" s="1" t="str">
        <f>Vlookup(C711,'Oil &amp; Gas Documents - Canada'!F:M,2,FALSE)</f>
        <v>#N/A</v>
      </c>
      <c r="E711" s="1" t="str">
        <f>Vlookup(C711,'Oil &amp; Gas Documents - Canada'!F:N,9,FALSE)</f>
        <v>#N/A</v>
      </c>
      <c r="F711" s="1" t="s">
        <v>2605</v>
      </c>
      <c r="G711" s="4" t="str">
        <f>HYPERLINK("http://nimonikapp.com/legislations/316060","http://nimonikapp.com/legislations/316060")</f>
        <v>http://nimonikapp.com/legislations/316060</v>
      </c>
      <c r="H711" s="1" t="s">
        <v>18</v>
      </c>
      <c r="I711" s="1" t="s">
        <v>2606</v>
      </c>
      <c r="J711" s="1" t="s">
        <v>2607</v>
      </c>
      <c r="K711" s="5">
        <v>44722.0</v>
      </c>
      <c r="L711" s="5">
        <v>44722.0</v>
      </c>
      <c r="M711" s="5">
        <v>44734.0</v>
      </c>
      <c r="N711" s="1" t="s">
        <v>2608</v>
      </c>
    </row>
    <row r="712" hidden="1">
      <c r="A712" s="1" t="s">
        <v>66</v>
      </c>
      <c r="B712" s="1" t="s">
        <v>25</v>
      </c>
      <c r="C712" s="1" t="s">
        <v>2609</v>
      </c>
      <c r="D712" s="1" t="str">
        <f>Vlookup(C712,'Oil &amp; Gas Documents - Canada'!F:M,2,FALSE)</f>
        <v>#N/A</v>
      </c>
      <c r="E712" s="1" t="str">
        <f>Vlookup(C712,'Oil &amp; Gas Documents - Canada'!F:N,9,FALSE)</f>
        <v>#N/A</v>
      </c>
      <c r="F712" s="1" t="s">
        <v>2610</v>
      </c>
      <c r="G712" s="4" t="str">
        <f>HYPERLINK("http://nimonikapp.com/legislations/315989","http://nimonikapp.com/legislations/315989")</f>
        <v>http://nimonikapp.com/legislations/315989</v>
      </c>
      <c r="H712" s="1" t="s">
        <v>18</v>
      </c>
      <c r="I712" s="1" t="s">
        <v>2606</v>
      </c>
      <c r="J712" s="1" t="s">
        <v>2607</v>
      </c>
      <c r="K712" s="5">
        <v>44722.0</v>
      </c>
      <c r="L712" s="5">
        <v>44722.0</v>
      </c>
      <c r="M712" s="5">
        <v>44734.0</v>
      </c>
      <c r="N712" s="1" t="s">
        <v>2611</v>
      </c>
    </row>
    <row r="713" hidden="1">
      <c r="A713" s="1" t="s">
        <v>66</v>
      </c>
      <c r="B713" s="1" t="s">
        <v>25</v>
      </c>
      <c r="C713" s="1" t="s">
        <v>1667</v>
      </c>
      <c r="D713" s="1" t="str">
        <f>Vlookup(C713,'Oil &amp; Gas Documents - Canada'!F:M,2,FALSE)</f>
        <v>#N/A</v>
      </c>
      <c r="E713" s="1" t="str">
        <f>Vlookup(C713,'Oil &amp; Gas Documents - Canada'!F:N,9,FALSE)</f>
        <v>#N/A</v>
      </c>
      <c r="F713" s="1" t="s">
        <v>1668</v>
      </c>
      <c r="G713" s="4" t="str">
        <f>HYPERLINK("http://nimonikapp.com/legislations/117270","http://nimonikapp.com/legislations/117270")</f>
        <v>http://nimonikapp.com/legislations/117270</v>
      </c>
      <c r="H713" s="1" t="s">
        <v>18</v>
      </c>
      <c r="I713" s="1" t="s">
        <v>2612</v>
      </c>
      <c r="J713" s="1" t="s">
        <v>2613</v>
      </c>
      <c r="K713" s="5">
        <v>44722.0</v>
      </c>
      <c r="L713" s="5">
        <v>44547.0</v>
      </c>
      <c r="M713" s="5">
        <v>44734.0</v>
      </c>
      <c r="N713" s="1" t="s">
        <v>1671</v>
      </c>
    </row>
    <row r="714" hidden="1">
      <c r="A714" s="1" t="s">
        <v>557</v>
      </c>
      <c r="B714" s="1" t="s">
        <v>15</v>
      </c>
      <c r="C714" s="1" t="s">
        <v>2614</v>
      </c>
      <c r="D714" s="1" t="str">
        <f>Vlookup(C714,'Oil &amp; Gas Documents - Canada'!F:M,2,FALSE)</f>
        <v>#N/A</v>
      </c>
      <c r="E714" s="1" t="str">
        <f>Vlookup(C714,'Oil &amp; Gas Documents - Canada'!F:N,9,FALSE)</f>
        <v>#N/A</v>
      </c>
      <c r="F714" s="1" t="s">
        <v>2615</v>
      </c>
      <c r="G714" s="4" t="str">
        <f>HYPERLINK("http://nimonikapp.com/legislations/355108","http://nimonikapp.com/legislations/355108")</f>
        <v>http://nimonikapp.com/legislations/355108</v>
      </c>
      <c r="H714" s="1" t="s">
        <v>516</v>
      </c>
      <c r="K714" s="5">
        <v>44712.0</v>
      </c>
      <c r="M714" s="5">
        <v>44733.0</v>
      </c>
    </row>
    <row r="715">
      <c r="A715" s="1" t="s">
        <v>66</v>
      </c>
      <c r="B715" s="1" t="s">
        <v>25</v>
      </c>
      <c r="C715" s="1" t="s">
        <v>395</v>
      </c>
      <c r="D715" s="1" t="s">
        <v>26</v>
      </c>
      <c r="E715" s="1" t="str">
        <f>Vlookup(C715,'Oil &amp; Gas Documents - Canada'!F:N,9,FALSE)</f>
        <v>#N/A</v>
      </c>
      <c r="F715" s="1" t="s">
        <v>394</v>
      </c>
      <c r="G715" s="4" t="str">
        <f>HYPERLINK("http://nimonikapp.com/legislations/316021","http://nimonikapp.com/legislations/316021")</f>
        <v>http://nimonikapp.com/legislations/316021</v>
      </c>
      <c r="H715" s="1" t="s">
        <v>18</v>
      </c>
      <c r="I715" s="1" t="s">
        <v>397</v>
      </c>
      <c r="J715" s="1" t="s">
        <v>398</v>
      </c>
      <c r="K715" s="5">
        <v>44722.0</v>
      </c>
      <c r="L715" s="5">
        <v>44652.0</v>
      </c>
      <c r="M715" s="5">
        <v>44733.0</v>
      </c>
      <c r="N715" s="1" t="s">
        <v>396</v>
      </c>
    </row>
    <row r="716" hidden="1">
      <c r="A716" s="1" t="s">
        <v>1097</v>
      </c>
      <c r="B716" s="1" t="s">
        <v>25</v>
      </c>
      <c r="C716" s="1" t="s">
        <v>1103</v>
      </c>
      <c r="D716" s="1" t="str">
        <f>Vlookup(C716,'Oil &amp; Gas Documents - Canada'!F:M,2,FALSE)</f>
        <v>#N/A</v>
      </c>
      <c r="E716" s="1" t="str">
        <f>Vlookup(C716,'Oil &amp; Gas Documents - Canada'!F:N,9,FALSE)</f>
        <v>#N/A</v>
      </c>
      <c r="F716" s="1" t="s">
        <v>1104</v>
      </c>
      <c r="G716" s="4" t="str">
        <f>HYPERLINK("http://nimonikapp.com/legislations/288080","http://nimonikapp.com/legislations/288080")</f>
        <v>http://nimonikapp.com/legislations/288080</v>
      </c>
      <c r="H716" s="1" t="s">
        <v>18</v>
      </c>
      <c r="I716" s="1" t="s">
        <v>2616</v>
      </c>
      <c r="J716" s="1" t="s">
        <v>2617</v>
      </c>
      <c r="K716" s="5">
        <v>44725.0</v>
      </c>
      <c r="L716" s="5">
        <v>44725.0</v>
      </c>
      <c r="M716" s="5">
        <v>44733.0</v>
      </c>
      <c r="N716" s="1" t="s">
        <v>1102</v>
      </c>
    </row>
    <row r="717" hidden="1">
      <c r="A717" s="1" t="s">
        <v>66</v>
      </c>
      <c r="B717" s="1" t="s">
        <v>25</v>
      </c>
      <c r="C717" s="1" t="s">
        <v>2604</v>
      </c>
      <c r="D717" s="1" t="str">
        <f>Vlookup(C717,'Oil &amp; Gas Documents - Canada'!F:M,2,FALSE)</f>
        <v>#N/A</v>
      </c>
      <c r="E717" s="1" t="str">
        <f>Vlookup(C717,'Oil &amp; Gas Documents - Canada'!F:N,9,FALSE)</f>
        <v>#N/A</v>
      </c>
      <c r="F717" s="1" t="s">
        <v>2605</v>
      </c>
      <c r="G717" s="4" t="str">
        <f>HYPERLINK("http://nimonikapp.com/legislations/316060","http://nimonikapp.com/legislations/316060")</f>
        <v>http://nimonikapp.com/legislations/316060</v>
      </c>
      <c r="H717" s="1" t="s">
        <v>18</v>
      </c>
      <c r="I717" s="1" t="s">
        <v>2618</v>
      </c>
      <c r="J717" s="1" t="s">
        <v>2619</v>
      </c>
      <c r="K717" s="5">
        <v>44722.0</v>
      </c>
      <c r="L717" s="5">
        <v>44562.0</v>
      </c>
      <c r="M717" s="5">
        <v>44733.0</v>
      </c>
      <c r="N717" s="1" t="s">
        <v>2608</v>
      </c>
    </row>
    <row r="718" hidden="1">
      <c r="A718" s="1" t="s">
        <v>66</v>
      </c>
      <c r="B718" s="1" t="s">
        <v>25</v>
      </c>
      <c r="C718" s="1" t="s">
        <v>2620</v>
      </c>
      <c r="D718" s="1" t="str">
        <f>Vlookup(C718,'Oil &amp; Gas Documents - Canada'!F:M,2,FALSE)</f>
        <v>#N/A</v>
      </c>
      <c r="E718" s="1" t="str">
        <f>Vlookup(C718,'Oil &amp; Gas Documents - Canada'!F:N,9,FALSE)</f>
        <v>#N/A</v>
      </c>
      <c r="F718" s="1" t="s">
        <v>2621</v>
      </c>
      <c r="G718" s="4" t="str">
        <f>HYPERLINK("http://nimonikapp.com/legislations/316054","http://nimonikapp.com/legislations/316054")</f>
        <v>http://nimonikapp.com/legislations/316054</v>
      </c>
      <c r="H718" s="1" t="s">
        <v>18</v>
      </c>
      <c r="I718" s="1" t="s">
        <v>2622</v>
      </c>
      <c r="J718" s="1" t="s">
        <v>2623</v>
      </c>
      <c r="K718" s="5">
        <v>44722.0</v>
      </c>
      <c r="L718" s="5">
        <v>44722.0</v>
      </c>
      <c r="M718" s="5">
        <v>44733.0</v>
      </c>
    </row>
    <row r="719" hidden="1">
      <c r="A719" s="1" t="s">
        <v>66</v>
      </c>
      <c r="B719" s="1" t="s">
        <v>25</v>
      </c>
      <c r="C719" s="1" t="s">
        <v>2624</v>
      </c>
      <c r="D719" s="1" t="str">
        <f>Vlookup(C719,'Oil &amp; Gas Documents - Canada'!F:M,2,FALSE)</f>
        <v>#N/A</v>
      </c>
      <c r="E719" s="1" t="str">
        <f>Vlookup(C719,'Oil &amp; Gas Documents - Canada'!F:N,9,FALSE)</f>
        <v>#N/A</v>
      </c>
      <c r="F719" s="1" t="s">
        <v>2625</v>
      </c>
      <c r="G719" s="4" t="str">
        <f>HYPERLINK("http://nimonikapp.com/legislations/142","http://nimonikapp.com/legislations/142")</f>
        <v>http://nimonikapp.com/legislations/142</v>
      </c>
      <c r="H719" s="1" t="s">
        <v>18</v>
      </c>
      <c r="I719" s="1" t="s">
        <v>2626</v>
      </c>
      <c r="J719" s="1" t="s">
        <v>2627</v>
      </c>
      <c r="K719" s="5">
        <v>44722.0</v>
      </c>
      <c r="M719" s="5">
        <v>44733.0</v>
      </c>
      <c r="N719" s="1" t="s">
        <v>2628</v>
      </c>
    </row>
    <row r="720" hidden="1">
      <c r="A720" s="1" t="s">
        <v>66</v>
      </c>
      <c r="B720" s="1" t="s">
        <v>25</v>
      </c>
      <c r="C720" s="1" t="s">
        <v>1993</v>
      </c>
      <c r="D720" s="1" t="str">
        <f>Vlookup(C720,'Oil &amp; Gas Documents - Canada'!F:M,2,FALSE)</f>
        <v>#N/A</v>
      </c>
      <c r="E720" s="1" t="str">
        <f>Vlookup(C720,'Oil &amp; Gas Documents - Canada'!F:N,9,FALSE)</f>
        <v>#N/A</v>
      </c>
      <c r="F720" s="1" t="s">
        <v>821</v>
      </c>
      <c r="G720" s="4" t="str">
        <f>HYPERLINK("http://nimonikapp.com/legislations/15063","http://nimonikapp.com/legislations/15063")</f>
        <v>http://nimonikapp.com/legislations/15063</v>
      </c>
      <c r="H720" s="1" t="s">
        <v>18</v>
      </c>
      <c r="I720" s="1" t="s">
        <v>2629</v>
      </c>
      <c r="J720" s="1" t="s">
        <v>2630</v>
      </c>
      <c r="K720" s="5">
        <v>44722.0</v>
      </c>
      <c r="L720" s="5">
        <v>44774.0</v>
      </c>
      <c r="M720" s="5">
        <v>44733.0</v>
      </c>
      <c r="N720" s="1" t="s">
        <v>1996</v>
      </c>
    </row>
    <row r="721" hidden="1">
      <c r="A721" s="1" t="s">
        <v>66</v>
      </c>
      <c r="B721" s="1" t="s">
        <v>25</v>
      </c>
      <c r="C721" s="1" t="s">
        <v>2631</v>
      </c>
      <c r="D721" s="1" t="str">
        <f>Vlookup(C721,'Oil &amp; Gas Documents - Canada'!F:M,2,FALSE)</f>
        <v>#N/A</v>
      </c>
      <c r="E721" s="1" t="str">
        <f>Vlookup(C721,'Oil &amp; Gas Documents - Canada'!F:N,9,FALSE)</f>
        <v>#N/A</v>
      </c>
      <c r="F721" s="1" t="s">
        <v>2632</v>
      </c>
      <c r="G721" s="4" t="str">
        <f>HYPERLINK("http://nimonikapp.com/legislations/117278","http://nimonikapp.com/legislations/117278")</f>
        <v>http://nimonikapp.com/legislations/117278</v>
      </c>
      <c r="H721" s="1" t="s">
        <v>18</v>
      </c>
      <c r="I721" s="1" t="s">
        <v>401</v>
      </c>
      <c r="J721" s="1" t="s">
        <v>402</v>
      </c>
      <c r="K721" s="5">
        <v>44722.0</v>
      </c>
      <c r="L721" s="5">
        <v>44722.0</v>
      </c>
      <c r="M721" s="5">
        <v>44733.0</v>
      </c>
      <c r="N721" s="1" t="s">
        <v>2633</v>
      </c>
    </row>
    <row r="722" hidden="1">
      <c r="A722" s="1" t="s">
        <v>66</v>
      </c>
      <c r="B722" s="1" t="s">
        <v>25</v>
      </c>
      <c r="C722" s="1" t="s">
        <v>2634</v>
      </c>
      <c r="D722" s="1" t="str">
        <f>Vlookup(C722,'Oil &amp; Gas Documents - Canada'!F:M,2,FALSE)</f>
        <v>#N/A</v>
      </c>
      <c r="E722" s="1" t="str">
        <f>Vlookup(C722,'Oil &amp; Gas Documents - Canada'!F:N,9,FALSE)</f>
        <v>#N/A</v>
      </c>
      <c r="F722" s="1" t="s">
        <v>2635</v>
      </c>
      <c r="G722" s="4" t="str">
        <f>HYPERLINK("http://nimonikapp.com/legislations/316058","http://nimonikapp.com/legislations/316058")</f>
        <v>http://nimonikapp.com/legislations/316058</v>
      </c>
      <c r="H722" s="1" t="s">
        <v>18</v>
      </c>
      <c r="I722" s="1" t="s">
        <v>401</v>
      </c>
      <c r="J722" s="1" t="s">
        <v>402</v>
      </c>
      <c r="K722" s="5">
        <v>44722.0</v>
      </c>
      <c r="L722" s="5">
        <v>44722.0</v>
      </c>
      <c r="M722" s="5">
        <v>44733.0</v>
      </c>
    </row>
    <row r="723" hidden="1">
      <c r="A723" s="1" t="s">
        <v>66</v>
      </c>
      <c r="B723" s="1" t="s">
        <v>25</v>
      </c>
      <c r="C723" s="1" t="s">
        <v>2636</v>
      </c>
      <c r="D723" s="1" t="str">
        <f>Vlookup(C723,'Oil &amp; Gas Documents - Canada'!F:M,2,FALSE)</f>
        <v>#N/A</v>
      </c>
      <c r="E723" s="1" t="str">
        <f>Vlookup(C723,'Oil &amp; Gas Documents - Canada'!F:N,9,FALSE)</f>
        <v>#N/A</v>
      </c>
      <c r="F723" s="1" t="s">
        <v>2637</v>
      </c>
      <c r="G723" s="4" t="str">
        <f>HYPERLINK("http://nimonikapp.com/legislations/143","http://nimonikapp.com/legislations/143")</f>
        <v>http://nimonikapp.com/legislations/143</v>
      </c>
      <c r="H723" s="1" t="s">
        <v>18</v>
      </c>
      <c r="I723" s="1" t="s">
        <v>401</v>
      </c>
      <c r="J723" s="1" t="s">
        <v>402</v>
      </c>
      <c r="K723" s="5">
        <v>44722.0</v>
      </c>
      <c r="L723" s="5">
        <v>44722.0</v>
      </c>
      <c r="M723" s="5">
        <v>44733.0</v>
      </c>
    </row>
    <row r="724" hidden="1">
      <c r="A724" s="1" t="s">
        <v>66</v>
      </c>
      <c r="B724" s="1" t="s">
        <v>25</v>
      </c>
      <c r="C724" s="1" t="s">
        <v>2596</v>
      </c>
      <c r="D724" s="1" t="str">
        <f>Vlookup(C724,'Oil &amp; Gas Documents - Canada'!F:M,2,FALSE)</f>
        <v>#N/A</v>
      </c>
      <c r="E724" s="1" t="str">
        <f>Vlookup(C724,'Oil &amp; Gas Documents - Canada'!F:N,9,FALSE)</f>
        <v>#N/A</v>
      </c>
      <c r="F724" s="1" t="s">
        <v>1354</v>
      </c>
      <c r="G724" s="4" t="str">
        <f>HYPERLINK("http://nimonikapp.com/legislations/3991","http://nimonikapp.com/legislations/3991")</f>
        <v>http://nimonikapp.com/legislations/3991</v>
      </c>
      <c r="H724" s="1" t="s">
        <v>18</v>
      </c>
      <c r="I724" s="1" t="s">
        <v>401</v>
      </c>
      <c r="J724" s="1" t="s">
        <v>402</v>
      </c>
      <c r="K724" s="5">
        <v>44722.0</v>
      </c>
      <c r="L724" s="5">
        <v>44722.0</v>
      </c>
      <c r="M724" s="5">
        <v>44733.0</v>
      </c>
      <c r="N724" s="1" t="s">
        <v>2599</v>
      </c>
    </row>
    <row r="725" hidden="1">
      <c r="A725" s="1" t="s">
        <v>66</v>
      </c>
      <c r="B725" s="1" t="s">
        <v>25</v>
      </c>
      <c r="C725" s="1" t="s">
        <v>2638</v>
      </c>
      <c r="D725" s="1" t="str">
        <f>Vlookup(C725,'Oil &amp; Gas Documents - Canada'!F:M,2,FALSE)</f>
        <v>#N/A</v>
      </c>
      <c r="E725" s="1" t="str">
        <f>Vlookup(C725,'Oil &amp; Gas Documents - Canada'!F:N,9,FALSE)</f>
        <v>#N/A</v>
      </c>
      <c r="F725" s="1" t="s">
        <v>2639</v>
      </c>
      <c r="G725" s="4" t="str">
        <f>HYPERLINK("http://nimonikapp.com/legislations/316040","http://nimonikapp.com/legislations/316040")</f>
        <v>http://nimonikapp.com/legislations/316040</v>
      </c>
      <c r="H725" s="1" t="s">
        <v>18</v>
      </c>
      <c r="I725" s="1" t="s">
        <v>401</v>
      </c>
      <c r="J725" s="1" t="s">
        <v>402</v>
      </c>
      <c r="K725" s="5">
        <v>44722.0</v>
      </c>
      <c r="L725" s="5">
        <v>44722.0</v>
      </c>
      <c r="M725" s="5">
        <v>44733.0</v>
      </c>
    </row>
    <row r="726" hidden="1">
      <c r="A726" s="1" t="s">
        <v>66</v>
      </c>
      <c r="B726" s="1" t="s">
        <v>25</v>
      </c>
      <c r="C726" s="1" t="s">
        <v>2640</v>
      </c>
      <c r="D726" s="1" t="str">
        <f>Vlookup(C726,'Oil &amp; Gas Documents - Canada'!F:M,2,FALSE)</f>
        <v>#N/A</v>
      </c>
      <c r="E726" s="1" t="str">
        <f>Vlookup(C726,'Oil &amp; Gas Documents - Canada'!F:N,9,FALSE)</f>
        <v>#N/A</v>
      </c>
      <c r="F726" s="1" t="s">
        <v>2641</v>
      </c>
      <c r="G726" s="4" t="str">
        <f>HYPERLINK("http://nimonikapp.com/legislations/316008","http://nimonikapp.com/legislations/316008")</f>
        <v>http://nimonikapp.com/legislations/316008</v>
      </c>
      <c r="H726" s="1" t="s">
        <v>18</v>
      </c>
      <c r="I726" s="1" t="s">
        <v>401</v>
      </c>
      <c r="J726" s="1" t="s">
        <v>402</v>
      </c>
      <c r="K726" s="5">
        <v>44722.0</v>
      </c>
      <c r="L726" s="5">
        <v>44722.0</v>
      </c>
      <c r="M726" s="5">
        <v>44733.0</v>
      </c>
    </row>
    <row r="727">
      <c r="A727" s="1" t="s">
        <v>66</v>
      </c>
      <c r="B727" s="1" t="s">
        <v>25</v>
      </c>
      <c r="C727" s="1" t="s">
        <v>400</v>
      </c>
      <c r="D727" s="1" t="s">
        <v>26</v>
      </c>
      <c r="E727" s="1" t="str">
        <f>Vlookup(C727,'Oil &amp; Gas Documents - Canada'!F:N,9,FALSE)</f>
        <v>#N/A</v>
      </c>
      <c r="F727" s="1" t="s">
        <v>399</v>
      </c>
      <c r="G727" s="4" t="str">
        <f>HYPERLINK("http://nimonikapp.com/legislations/15069","http://nimonikapp.com/legislations/15069")</f>
        <v>http://nimonikapp.com/legislations/15069</v>
      </c>
      <c r="H727" s="1" t="s">
        <v>18</v>
      </c>
      <c r="I727" s="1" t="s">
        <v>401</v>
      </c>
      <c r="J727" s="1" t="s">
        <v>402</v>
      </c>
      <c r="K727" s="5">
        <v>44722.0</v>
      </c>
      <c r="L727" s="5">
        <v>44722.0</v>
      </c>
      <c r="M727" s="5">
        <v>44733.0</v>
      </c>
    </row>
    <row r="728" hidden="1">
      <c r="A728" s="1" t="s">
        <v>66</v>
      </c>
      <c r="B728" s="1" t="s">
        <v>25</v>
      </c>
      <c r="C728" s="1" t="s">
        <v>2642</v>
      </c>
      <c r="D728" s="1" t="str">
        <f>Vlookup(C728,'Oil &amp; Gas Documents - Canada'!F:M,2,FALSE)</f>
        <v>#N/A</v>
      </c>
      <c r="E728" s="1" t="str">
        <f>Vlookup(C728,'Oil &amp; Gas Documents - Canada'!F:N,9,FALSE)</f>
        <v>#N/A</v>
      </c>
      <c r="F728" s="1" t="s">
        <v>2643</v>
      </c>
      <c r="G728" s="4" t="str">
        <f>HYPERLINK("http://nimonikapp.com/legislations/315986","http://nimonikapp.com/legislations/315986")</f>
        <v>http://nimonikapp.com/legislations/315986</v>
      </c>
      <c r="H728" s="1" t="s">
        <v>18</v>
      </c>
      <c r="I728" s="1" t="s">
        <v>401</v>
      </c>
      <c r="J728" s="1" t="s">
        <v>402</v>
      </c>
      <c r="K728" s="5">
        <v>44722.0</v>
      </c>
      <c r="L728" s="5">
        <v>44722.0</v>
      </c>
      <c r="M728" s="5">
        <v>44733.0</v>
      </c>
    </row>
    <row r="729" hidden="1">
      <c r="A729" s="1" t="s">
        <v>66</v>
      </c>
      <c r="B729" s="1" t="s">
        <v>25</v>
      </c>
      <c r="C729" s="1" t="s">
        <v>2644</v>
      </c>
      <c r="D729" s="1" t="str">
        <f>Vlookup(C729,'Oil &amp; Gas Documents - Canada'!F:M,2,FALSE)</f>
        <v>#N/A</v>
      </c>
      <c r="E729" s="1" t="str">
        <f>Vlookup(C729,'Oil &amp; Gas Documents - Canada'!F:N,9,FALSE)</f>
        <v>#N/A</v>
      </c>
      <c r="F729" s="1" t="s">
        <v>2645</v>
      </c>
      <c r="G729" s="4" t="str">
        <f>HYPERLINK("http://nimonikapp.com/legislations/315992","http://nimonikapp.com/legislations/315992")</f>
        <v>http://nimonikapp.com/legislations/315992</v>
      </c>
      <c r="H729" s="1" t="s">
        <v>18</v>
      </c>
      <c r="I729" s="1" t="s">
        <v>2646</v>
      </c>
      <c r="J729" s="1" t="s">
        <v>2647</v>
      </c>
      <c r="K729" s="5">
        <v>44722.0</v>
      </c>
      <c r="L729" s="5">
        <v>44722.0</v>
      </c>
      <c r="M729" s="5">
        <v>44733.0</v>
      </c>
      <c r="N729" s="1" t="s">
        <v>2648</v>
      </c>
    </row>
    <row r="730" hidden="1">
      <c r="A730" s="1" t="s">
        <v>66</v>
      </c>
      <c r="B730" s="1" t="s">
        <v>25</v>
      </c>
      <c r="C730" s="1" t="s">
        <v>2638</v>
      </c>
      <c r="D730" s="1" t="str">
        <f>Vlookup(C730,'Oil &amp; Gas Documents - Canada'!F:M,2,FALSE)</f>
        <v>#N/A</v>
      </c>
      <c r="E730" s="1" t="str">
        <f>Vlookup(C730,'Oil &amp; Gas Documents - Canada'!F:N,9,FALSE)</f>
        <v>#N/A</v>
      </c>
      <c r="F730" s="1" t="s">
        <v>2639</v>
      </c>
      <c r="G730" s="4" t="str">
        <f>HYPERLINK("http://nimonikapp.com/legislations/316040","http://nimonikapp.com/legislations/316040")</f>
        <v>http://nimonikapp.com/legislations/316040</v>
      </c>
      <c r="H730" s="1" t="s">
        <v>18</v>
      </c>
      <c r="I730" s="1" t="s">
        <v>2649</v>
      </c>
      <c r="J730" s="1" t="s">
        <v>2630</v>
      </c>
      <c r="K730" s="5">
        <v>44722.0</v>
      </c>
      <c r="L730" s="5">
        <v>44722.0</v>
      </c>
      <c r="M730" s="5">
        <v>44733.0</v>
      </c>
    </row>
    <row r="731" hidden="1">
      <c r="A731" s="1" t="s">
        <v>66</v>
      </c>
      <c r="B731" s="1" t="s">
        <v>25</v>
      </c>
      <c r="C731" s="1" t="s">
        <v>1993</v>
      </c>
      <c r="D731" s="1" t="str">
        <f>Vlookup(C731,'Oil &amp; Gas Documents - Canada'!F:M,2,FALSE)</f>
        <v>#N/A</v>
      </c>
      <c r="E731" s="1" t="str">
        <f>Vlookup(C731,'Oil &amp; Gas Documents - Canada'!F:N,9,FALSE)</f>
        <v>#N/A</v>
      </c>
      <c r="F731" s="1" t="s">
        <v>821</v>
      </c>
      <c r="G731" s="4" t="str">
        <f>HYPERLINK("http://nimonikapp.com/legislations/15063","http://nimonikapp.com/legislations/15063")</f>
        <v>http://nimonikapp.com/legislations/15063</v>
      </c>
      <c r="H731" s="1" t="s">
        <v>18</v>
      </c>
      <c r="I731" s="1" t="s">
        <v>2649</v>
      </c>
      <c r="J731" s="1" t="s">
        <v>2630</v>
      </c>
      <c r="K731" s="5">
        <v>44722.0</v>
      </c>
      <c r="L731" s="5">
        <v>44722.0</v>
      </c>
      <c r="M731" s="5">
        <v>44733.0</v>
      </c>
      <c r="N731" s="1" t="s">
        <v>1996</v>
      </c>
    </row>
    <row r="732" hidden="1">
      <c r="A732" s="1" t="s">
        <v>66</v>
      </c>
      <c r="B732" s="1" t="s">
        <v>25</v>
      </c>
      <c r="C732" s="1" t="s">
        <v>2650</v>
      </c>
      <c r="D732" s="1" t="str">
        <f>Vlookup(C732,'Oil &amp; Gas Documents - Canada'!F:M,2,FALSE)</f>
        <v>#N/A</v>
      </c>
      <c r="E732" s="1" t="str">
        <f>Vlookup(C732,'Oil &amp; Gas Documents - Canada'!F:N,9,FALSE)</f>
        <v>#N/A</v>
      </c>
      <c r="F732" s="1" t="s">
        <v>2651</v>
      </c>
      <c r="G732" s="4" t="str">
        <f>HYPERLINK("http://nimonikapp.com/legislations/316043","http://nimonikapp.com/legislations/316043")</f>
        <v>http://nimonikapp.com/legislations/316043</v>
      </c>
      <c r="H732" s="1" t="s">
        <v>18</v>
      </c>
      <c r="I732" s="1" t="s">
        <v>2652</v>
      </c>
      <c r="J732" s="1" t="s">
        <v>2653</v>
      </c>
      <c r="K732" s="5">
        <v>44722.0</v>
      </c>
      <c r="L732" s="5">
        <v>44562.0</v>
      </c>
      <c r="M732" s="5">
        <v>44733.0</v>
      </c>
      <c r="N732" s="1" t="s">
        <v>2654</v>
      </c>
    </row>
    <row r="733" hidden="1">
      <c r="A733" s="1" t="s">
        <v>66</v>
      </c>
      <c r="B733" s="1" t="s">
        <v>25</v>
      </c>
      <c r="C733" s="1" t="s">
        <v>2655</v>
      </c>
      <c r="D733" s="1" t="str">
        <f>Vlookup(C733,'Oil &amp; Gas Documents - Canada'!F:M,2,FALSE)</f>
        <v>#N/A</v>
      </c>
      <c r="E733" s="1" t="str">
        <f>Vlookup(C733,'Oil &amp; Gas Documents - Canada'!F:N,9,FALSE)</f>
        <v>#N/A</v>
      </c>
      <c r="F733" s="1" t="s">
        <v>2656</v>
      </c>
      <c r="G733" s="4" t="str">
        <f>HYPERLINK("http://nimonikapp.com/legislations/15075","http://nimonikapp.com/legislations/15075")</f>
        <v>http://nimonikapp.com/legislations/15075</v>
      </c>
      <c r="H733" s="1" t="s">
        <v>18</v>
      </c>
      <c r="I733" s="1" t="s">
        <v>2657</v>
      </c>
      <c r="J733" s="1" t="s">
        <v>2658</v>
      </c>
      <c r="K733" s="5">
        <v>44722.0</v>
      </c>
      <c r="L733" s="5">
        <v>44722.0</v>
      </c>
      <c r="M733" s="5">
        <v>44733.0</v>
      </c>
    </row>
    <row r="734" hidden="1">
      <c r="A734" s="1" t="s">
        <v>66</v>
      </c>
      <c r="B734" s="1" t="s">
        <v>25</v>
      </c>
      <c r="C734" s="1" t="s">
        <v>2659</v>
      </c>
      <c r="D734" s="1" t="str">
        <f>Vlookup(C734,'Oil &amp; Gas Documents - Canada'!F:M,2,FALSE)</f>
        <v>#N/A</v>
      </c>
      <c r="E734" s="1" t="str">
        <f>Vlookup(C734,'Oil &amp; Gas Documents - Canada'!F:N,9,FALSE)</f>
        <v>#N/A</v>
      </c>
      <c r="F734" s="1" t="s">
        <v>2660</v>
      </c>
      <c r="G734" s="4" t="str">
        <f>HYPERLINK("http://nimonikapp.com/legislations/15056","http://nimonikapp.com/legislations/15056")</f>
        <v>http://nimonikapp.com/legislations/15056</v>
      </c>
      <c r="H734" s="1" t="s">
        <v>18</v>
      </c>
      <c r="I734" s="1" t="s">
        <v>2661</v>
      </c>
      <c r="J734" s="1" t="s">
        <v>2662</v>
      </c>
      <c r="K734" s="5">
        <v>44722.0</v>
      </c>
      <c r="M734" s="5">
        <v>44733.0</v>
      </c>
      <c r="N734" s="1" t="s">
        <v>2663</v>
      </c>
    </row>
    <row r="735" hidden="1">
      <c r="A735" s="1" t="s">
        <v>66</v>
      </c>
      <c r="B735" s="1" t="s">
        <v>25</v>
      </c>
      <c r="C735" s="1" t="s">
        <v>2664</v>
      </c>
      <c r="D735" s="1" t="str">
        <f>Vlookup(C735,'Oil &amp; Gas Documents - Canada'!F:M,2,FALSE)</f>
        <v>#N/A</v>
      </c>
      <c r="E735" s="1" t="str">
        <f>Vlookup(C735,'Oil &amp; Gas Documents - Canada'!F:N,9,FALSE)</f>
        <v>#N/A</v>
      </c>
      <c r="F735" s="1" t="s">
        <v>2665</v>
      </c>
      <c r="G735" s="4" t="str">
        <f>HYPERLINK("http://nimonikapp.com/legislations/316037","http://nimonikapp.com/legislations/316037")</f>
        <v>http://nimonikapp.com/legislations/316037</v>
      </c>
      <c r="H735" s="1" t="s">
        <v>18</v>
      </c>
      <c r="I735" s="1" t="s">
        <v>2666</v>
      </c>
      <c r="J735" s="1" t="s">
        <v>2667</v>
      </c>
      <c r="K735" s="5">
        <v>44722.0</v>
      </c>
      <c r="L735" s="5">
        <v>44722.0</v>
      </c>
      <c r="M735" s="5">
        <v>44733.0</v>
      </c>
      <c r="N735" s="1" t="s">
        <v>2668</v>
      </c>
    </row>
    <row r="736" hidden="1">
      <c r="A736" s="1" t="s">
        <v>66</v>
      </c>
      <c r="B736" s="1" t="s">
        <v>25</v>
      </c>
      <c r="C736" s="1" t="s">
        <v>2669</v>
      </c>
      <c r="D736" s="1" t="str">
        <f>Vlookup(C736,'Oil &amp; Gas Documents - Canada'!F:M,2,FALSE)</f>
        <v>#N/A</v>
      </c>
      <c r="E736" s="1" t="str">
        <f>Vlookup(C736,'Oil &amp; Gas Documents - Canada'!F:N,9,FALSE)</f>
        <v>#N/A</v>
      </c>
      <c r="F736" s="1" t="s">
        <v>2670</v>
      </c>
      <c r="G736" s="4" t="str">
        <f>HYPERLINK("http://nimonikapp.com/legislations/144","http://nimonikapp.com/legislations/144")</f>
        <v>http://nimonikapp.com/legislations/144</v>
      </c>
      <c r="H736" s="1" t="s">
        <v>18</v>
      </c>
      <c r="I736" s="1" t="s">
        <v>403</v>
      </c>
      <c r="J736" s="1" t="s">
        <v>404</v>
      </c>
      <c r="K736" s="5">
        <v>44722.0</v>
      </c>
      <c r="L736" s="5">
        <v>44616.0</v>
      </c>
      <c r="M736" s="5">
        <v>44733.0</v>
      </c>
    </row>
    <row r="737" hidden="1">
      <c r="A737" s="1" t="s">
        <v>66</v>
      </c>
      <c r="B737" s="1" t="s">
        <v>25</v>
      </c>
      <c r="C737" s="1" t="s">
        <v>2671</v>
      </c>
      <c r="D737" s="1" t="str">
        <f>Vlookup(C737,'Oil &amp; Gas Documents - Canada'!F:M,2,FALSE)</f>
        <v>#N/A</v>
      </c>
      <c r="E737" s="1" t="str">
        <f>Vlookup(C737,'Oil &amp; Gas Documents - Canada'!F:N,9,FALSE)</f>
        <v>#N/A</v>
      </c>
      <c r="F737" s="1" t="s">
        <v>2672</v>
      </c>
      <c r="G737" s="4" t="str">
        <f>HYPERLINK("http://nimonikapp.com/legislations/316064","http://nimonikapp.com/legislations/316064")</f>
        <v>http://nimonikapp.com/legislations/316064</v>
      </c>
      <c r="H737" s="1" t="s">
        <v>18</v>
      </c>
      <c r="I737" s="1" t="s">
        <v>403</v>
      </c>
      <c r="J737" s="1" t="s">
        <v>404</v>
      </c>
      <c r="K737" s="5">
        <v>44722.0</v>
      </c>
      <c r="L737" s="5">
        <v>44616.0</v>
      </c>
      <c r="M737" s="5">
        <v>44733.0</v>
      </c>
    </row>
    <row r="738" hidden="1">
      <c r="A738" s="1" t="s">
        <v>66</v>
      </c>
      <c r="B738" s="1" t="s">
        <v>25</v>
      </c>
      <c r="C738" s="1" t="s">
        <v>2634</v>
      </c>
      <c r="D738" s="1" t="str">
        <f>Vlookup(C738,'Oil &amp; Gas Documents - Canada'!F:M,2,FALSE)</f>
        <v>#N/A</v>
      </c>
      <c r="E738" s="1" t="str">
        <f>Vlookup(C738,'Oil &amp; Gas Documents - Canada'!F:N,9,FALSE)</f>
        <v>#N/A</v>
      </c>
      <c r="F738" s="1" t="s">
        <v>2635</v>
      </c>
      <c r="G738" s="4" t="str">
        <f>HYPERLINK("http://nimonikapp.com/legislations/316058","http://nimonikapp.com/legislations/316058")</f>
        <v>http://nimonikapp.com/legislations/316058</v>
      </c>
      <c r="H738" s="1" t="s">
        <v>18</v>
      </c>
      <c r="I738" s="1" t="s">
        <v>403</v>
      </c>
      <c r="J738" s="1" t="s">
        <v>404</v>
      </c>
      <c r="K738" s="5">
        <v>44722.0</v>
      </c>
      <c r="L738" s="5">
        <v>44616.0</v>
      </c>
      <c r="M738" s="5">
        <v>44733.0</v>
      </c>
    </row>
    <row r="739" hidden="1">
      <c r="A739" s="1" t="s">
        <v>66</v>
      </c>
      <c r="B739" s="1" t="s">
        <v>25</v>
      </c>
      <c r="C739" s="1" t="s">
        <v>2659</v>
      </c>
      <c r="D739" s="1" t="str">
        <f>Vlookup(C739,'Oil &amp; Gas Documents - Canada'!F:M,2,FALSE)</f>
        <v>#N/A</v>
      </c>
      <c r="E739" s="1" t="str">
        <f>Vlookup(C739,'Oil &amp; Gas Documents - Canada'!F:N,9,FALSE)</f>
        <v>#N/A</v>
      </c>
      <c r="F739" s="1" t="s">
        <v>2660</v>
      </c>
      <c r="G739" s="4" t="str">
        <f>HYPERLINK("http://nimonikapp.com/legislations/15056","http://nimonikapp.com/legislations/15056")</f>
        <v>http://nimonikapp.com/legislations/15056</v>
      </c>
      <c r="H739" s="1" t="s">
        <v>18</v>
      </c>
      <c r="I739" s="1" t="s">
        <v>403</v>
      </c>
      <c r="J739" s="1" t="s">
        <v>404</v>
      </c>
      <c r="K739" s="5">
        <v>44722.0</v>
      </c>
      <c r="L739" s="5">
        <v>44616.0</v>
      </c>
      <c r="M739" s="5">
        <v>44733.0</v>
      </c>
      <c r="N739" s="1" t="s">
        <v>2663</v>
      </c>
    </row>
    <row r="740" hidden="1">
      <c r="A740" s="1" t="s">
        <v>66</v>
      </c>
      <c r="B740" s="1" t="s">
        <v>25</v>
      </c>
      <c r="C740" s="1" t="s">
        <v>2673</v>
      </c>
      <c r="D740" s="1" t="str">
        <f>Vlookup(C740,'Oil &amp; Gas Documents - Canada'!F:M,2,FALSE)</f>
        <v>#N/A</v>
      </c>
      <c r="E740" s="1" t="str">
        <f>Vlookup(C740,'Oil &amp; Gas Documents - Canada'!F:N,9,FALSE)</f>
        <v>#N/A</v>
      </c>
      <c r="F740" s="1" t="s">
        <v>2674</v>
      </c>
      <c r="G740" s="4" t="str">
        <f>HYPERLINK("http://nimonikapp.com/legislations/307421","http://nimonikapp.com/legislations/307421")</f>
        <v>http://nimonikapp.com/legislations/307421</v>
      </c>
      <c r="H740" s="1" t="s">
        <v>18</v>
      </c>
      <c r="I740" s="1" t="s">
        <v>403</v>
      </c>
      <c r="J740" s="1" t="s">
        <v>404</v>
      </c>
      <c r="K740" s="5">
        <v>44722.0</v>
      </c>
      <c r="L740" s="5">
        <v>44616.0</v>
      </c>
      <c r="M740" s="5">
        <v>44733.0</v>
      </c>
      <c r="N740" s="1" t="s">
        <v>2675</v>
      </c>
    </row>
    <row r="741" hidden="1">
      <c r="A741" s="1" t="s">
        <v>66</v>
      </c>
      <c r="B741" s="1" t="s">
        <v>25</v>
      </c>
      <c r="C741" s="1" t="s">
        <v>2676</v>
      </c>
      <c r="D741" s="1" t="str">
        <f>Vlookup(C741,'Oil &amp; Gas Documents - Canada'!F:M,2,FALSE)</f>
        <v>#N/A</v>
      </c>
      <c r="E741" s="1" t="str">
        <f>Vlookup(C741,'Oil &amp; Gas Documents - Canada'!F:N,9,FALSE)</f>
        <v>#N/A</v>
      </c>
      <c r="F741" s="1" t="s">
        <v>2677</v>
      </c>
      <c r="G741" s="4" t="str">
        <f>HYPERLINK("http://nimonikapp.com/legislations/316024","http://nimonikapp.com/legislations/316024")</f>
        <v>http://nimonikapp.com/legislations/316024</v>
      </c>
      <c r="H741" s="1" t="s">
        <v>18</v>
      </c>
      <c r="I741" s="1" t="s">
        <v>403</v>
      </c>
      <c r="J741" s="1" t="s">
        <v>404</v>
      </c>
      <c r="K741" s="5">
        <v>44722.0</v>
      </c>
      <c r="L741" s="5">
        <v>44616.0</v>
      </c>
      <c r="M741" s="5">
        <v>44733.0</v>
      </c>
    </row>
    <row r="742" hidden="1">
      <c r="A742" s="1" t="s">
        <v>66</v>
      </c>
      <c r="B742" s="1" t="s">
        <v>25</v>
      </c>
      <c r="C742" s="1" t="s">
        <v>2678</v>
      </c>
      <c r="D742" s="1" t="str">
        <f>Vlookup(C742,'Oil &amp; Gas Documents - Canada'!F:M,2,FALSE)</f>
        <v>#N/A</v>
      </c>
      <c r="E742" s="1" t="str">
        <f>Vlookup(C742,'Oil &amp; Gas Documents - Canada'!F:N,9,FALSE)</f>
        <v>#N/A</v>
      </c>
      <c r="F742" s="1" t="s">
        <v>1142</v>
      </c>
      <c r="G742" s="4" t="str">
        <f>HYPERLINK("http://nimonikapp.com/legislations/316016","http://nimonikapp.com/legislations/316016")</f>
        <v>http://nimonikapp.com/legislations/316016</v>
      </c>
      <c r="H742" s="1" t="s">
        <v>18</v>
      </c>
      <c r="I742" s="1" t="s">
        <v>403</v>
      </c>
      <c r="J742" s="1" t="s">
        <v>404</v>
      </c>
      <c r="K742" s="5">
        <v>44722.0</v>
      </c>
      <c r="L742" s="5">
        <v>44616.0</v>
      </c>
      <c r="M742" s="5">
        <v>44733.0</v>
      </c>
      <c r="N742" s="1" t="s">
        <v>2679</v>
      </c>
    </row>
    <row r="743" hidden="1">
      <c r="A743" s="1" t="s">
        <v>66</v>
      </c>
      <c r="B743" s="1" t="s">
        <v>25</v>
      </c>
      <c r="C743" s="1" t="s">
        <v>2600</v>
      </c>
      <c r="D743" s="1" t="str">
        <f>Vlookup(C743,'Oil &amp; Gas Documents - Canada'!F:M,2,FALSE)</f>
        <v>#N/A</v>
      </c>
      <c r="E743" s="1" t="str">
        <f>Vlookup(C743,'Oil &amp; Gas Documents - Canada'!F:N,9,FALSE)</f>
        <v>#N/A</v>
      </c>
      <c r="F743" s="1" t="s">
        <v>1533</v>
      </c>
      <c r="G743" s="4" t="str">
        <f>HYPERLINK("http://nimonikapp.com/legislations/15077","http://nimonikapp.com/legislations/15077")</f>
        <v>http://nimonikapp.com/legislations/15077</v>
      </c>
      <c r="H743" s="1" t="s">
        <v>18</v>
      </c>
      <c r="I743" s="1" t="s">
        <v>403</v>
      </c>
      <c r="J743" s="1" t="s">
        <v>404</v>
      </c>
      <c r="K743" s="5">
        <v>44722.0</v>
      </c>
      <c r="L743" s="5">
        <v>44616.0</v>
      </c>
      <c r="M743" s="5">
        <v>44733.0</v>
      </c>
      <c r="N743" s="1" t="s">
        <v>2603</v>
      </c>
    </row>
    <row r="744" hidden="1">
      <c r="A744" s="1" t="s">
        <v>66</v>
      </c>
      <c r="B744" s="1" t="s">
        <v>25</v>
      </c>
      <c r="C744" s="1" t="s">
        <v>2680</v>
      </c>
      <c r="D744" s="1" t="str">
        <f>Vlookup(C744,'Oil &amp; Gas Documents - Canada'!F:M,2,FALSE)</f>
        <v>#N/A</v>
      </c>
      <c r="E744" s="1" t="str">
        <f>Vlookup(C744,'Oil &amp; Gas Documents - Canada'!F:N,9,FALSE)</f>
        <v>#N/A</v>
      </c>
      <c r="F744" s="1" t="s">
        <v>2681</v>
      </c>
      <c r="G744" s="4" t="str">
        <f>HYPERLINK("http://nimonikapp.com/legislations/117271","http://nimonikapp.com/legislations/117271")</f>
        <v>http://nimonikapp.com/legislations/117271</v>
      </c>
      <c r="H744" s="1" t="s">
        <v>18</v>
      </c>
      <c r="I744" s="1" t="s">
        <v>403</v>
      </c>
      <c r="J744" s="1" t="s">
        <v>404</v>
      </c>
      <c r="K744" s="5">
        <v>44722.0</v>
      </c>
      <c r="L744" s="5">
        <v>44616.0</v>
      </c>
      <c r="M744" s="5">
        <v>44733.0</v>
      </c>
      <c r="N744" s="1" t="s">
        <v>2682</v>
      </c>
    </row>
    <row r="745" hidden="1">
      <c r="A745" s="1" t="s">
        <v>66</v>
      </c>
      <c r="B745" s="1" t="s">
        <v>25</v>
      </c>
      <c r="C745" s="1" t="s">
        <v>2683</v>
      </c>
      <c r="D745" s="1" t="str">
        <f>Vlookup(C745,'Oil &amp; Gas Documents - Canada'!F:M,2,FALSE)</f>
        <v>#N/A</v>
      </c>
      <c r="E745" s="1" t="str">
        <f>Vlookup(C745,'Oil &amp; Gas Documents - Canada'!F:N,9,FALSE)</f>
        <v>#N/A</v>
      </c>
      <c r="F745" s="1" t="s">
        <v>2684</v>
      </c>
      <c r="G745" s="4" t="str">
        <f>HYPERLINK("http://nimonikapp.com/legislations/117275","http://nimonikapp.com/legislations/117275")</f>
        <v>http://nimonikapp.com/legislations/117275</v>
      </c>
      <c r="H745" s="1" t="s">
        <v>18</v>
      </c>
      <c r="I745" s="1" t="s">
        <v>403</v>
      </c>
      <c r="J745" s="1" t="s">
        <v>404</v>
      </c>
      <c r="K745" s="5">
        <v>44722.0</v>
      </c>
      <c r="L745" s="5">
        <v>44616.0</v>
      </c>
      <c r="M745" s="5">
        <v>44733.0</v>
      </c>
      <c r="N745" s="1" t="s">
        <v>2685</v>
      </c>
    </row>
    <row r="746" hidden="1">
      <c r="A746" s="1" t="s">
        <v>66</v>
      </c>
      <c r="B746" s="1" t="s">
        <v>25</v>
      </c>
      <c r="C746" s="1" t="s">
        <v>2638</v>
      </c>
      <c r="D746" s="1" t="str">
        <f>Vlookup(C746,'Oil &amp; Gas Documents - Canada'!F:M,2,FALSE)</f>
        <v>#N/A</v>
      </c>
      <c r="E746" s="1" t="str">
        <f>Vlookup(C746,'Oil &amp; Gas Documents - Canada'!F:N,9,FALSE)</f>
        <v>#N/A</v>
      </c>
      <c r="F746" s="1" t="s">
        <v>2639</v>
      </c>
      <c r="G746" s="4" t="str">
        <f>HYPERLINK("http://nimonikapp.com/legislations/316040","http://nimonikapp.com/legislations/316040")</f>
        <v>http://nimonikapp.com/legislations/316040</v>
      </c>
      <c r="H746" s="1" t="s">
        <v>18</v>
      </c>
      <c r="I746" s="1" t="s">
        <v>403</v>
      </c>
      <c r="J746" s="1" t="s">
        <v>404</v>
      </c>
      <c r="K746" s="5">
        <v>44722.0</v>
      </c>
      <c r="L746" s="5">
        <v>44616.0</v>
      </c>
      <c r="M746" s="5">
        <v>44733.0</v>
      </c>
    </row>
    <row r="747" hidden="1">
      <c r="A747" s="1" t="s">
        <v>66</v>
      </c>
      <c r="B747" s="1" t="s">
        <v>25</v>
      </c>
      <c r="C747" s="1" t="s">
        <v>2686</v>
      </c>
      <c r="D747" s="1" t="str">
        <f>Vlookup(C747,'Oil &amp; Gas Documents - Canada'!F:M,2,FALSE)</f>
        <v>#N/A</v>
      </c>
      <c r="E747" s="1" t="str">
        <f>Vlookup(C747,'Oil &amp; Gas Documents - Canada'!F:N,9,FALSE)</f>
        <v>#N/A</v>
      </c>
      <c r="F747" s="1" t="s">
        <v>2687</v>
      </c>
      <c r="G747" s="4" t="str">
        <f>HYPERLINK("http://nimonikapp.com/legislations/316150","http://nimonikapp.com/legislations/316150")</f>
        <v>http://nimonikapp.com/legislations/316150</v>
      </c>
      <c r="H747" s="1" t="s">
        <v>18</v>
      </c>
      <c r="I747" s="1" t="s">
        <v>403</v>
      </c>
      <c r="J747" s="1" t="s">
        <v>404</v>
      </c>
      <c r="K747" s="5">
        <v>44722.0</v>
      </c>
      <c r="L747" s="5">
        <v>44616.0</v>
      </c>
      <c r="M747" s="5">
        <v>44733.0</v>
      </c>
    </row>
    <row r="748" hidden="1">
      <c r="A748" s="1" t="s">
        <v>66</v>
      </c>
      <c r="B748" s="1" t="s">
        <v>25</v>
      </c>
      <c r="C748" s="1" t="s">
        <v>2688</v>
      </c>
      <c r="D748" s="1" t="str">
        <f>Vlookup(C748,'Oil &amp; Gas Documents - Canada'!F:M,2,FALSE)</f>
        <v>#N/A</v>
      </c>
      <c r="E748" s="1" t="str">
        <f>Vlookup(C748,'Oil &amp; Gas Documents - Canada'!F:N,9,FALSE)</f>
        <v>#N/A</v>
      </c>
      <c r="F748" s="1" t="s">
        <v>2689</v>
      </c>
      <c r="G748" s="4" t="str">
        <f>HYPERLINK("http://nimonikapp.com/legislations/316036","http://nimonikapp.com/legislations/316036")</f>
        <v>http://nimonikapp.com/legislations/316036</v>
      </c>
      <c r="H748" s="1" t="s">
        <v>18</v>
      </c>
      <c r="I748" s="1" t="s">
        <v>403</v>
      </c>
      <c r="J748" s="1" t="s">
        <v>404</v>
      </c>
      <c r="K748" s="5">
        <v>44722.0</v>
      </c>
      <c r="L748" s="5">
        <v>44616.0</v>
      </c>
      <c r="M748" s="5">
        <v>44733.0</v>
      </c>
      <c r="N748" s="1" t="s">
        <v>2690</v>
      </c>
    </row>
    <row r="749" hidden="1">
      <c r="A749" s="1" t="s">
        <v>66</v>
      </c>
      <c r="B749" s="1" t="s">
        <v>25</v>
      </c>
      <c r="C749" s="1" t="s">
        <v>2691</v>
      </c>
      <c r="D749" s="1" t="str">
        <f>Vlookup(C749,'Oil &amp; Gas Documents - Canada'!F:M,2,FALSE)</f>
        <v>#N/A</v>
      </c>
      <c r="E749" s="1" t="str">
        <f>Vlookup(C749,'Oil &amp; Gas Documents - Canada'!F:N,9,FALSE)</f>
        <v>#N/A</v>
      </c>
      <c r="F749" s="1" t="s">
        <v>2692</v>
      </c>
      <c r="G749" s="4" t="str">
        <f>HYPERLINK("http://nimonikapp.com/legislations/316029","http://nimonikapp.com/legislations/316029")</f>
        <v>http://nimonikapp.com/legislations/316029</v>
      </c>
      <c r="H749" s="1" t="s">
        <v>18</v>
      </c>
      <c r="I749" s="1" t="s">
        <v>403</v>
      </c>
      <c r="J749" s="1" t="s">
        <v>404</v>
      </c>
      <c r="K749" s="5">
        <v>44722.0</v>
      </c>
      <c r="L749" s="5">
        <v>44616.0</v>
      </c>
      <c r="M749" s="5">
        <v>44733.0</v>
      </c>
    </row>
    <row r="750" hidden="1">
      <c r="A750" s="1" t="s">
        <v>66</v>
      </c>
      <c r="B750" s="1" t="s">
        <v>25</v>
      </c>
      <c r="C750" s="1" t="s">
        <v>2624</v>
      </c>
      <c r="D750" s="1" t="str">
        <f>Vlookup(C750,'Oil &amp; Gas Documents - Canada'!F:M,2,FALSE)</f>
        <v>#N/A</v>
      </c>
      <c r="E750" s="1" t="str">
        <f>Vlookup(C750,'Oil &amp; Gas Documents - Canada'!F:N,9,FALSE)</f>
        <v>#N/A</v>
      </c>
      <c r="F750" s="1" t="s">
        <v>2625</v>
      </c>
      <c r="G750" s="4" t="str">
        <f>HYPERLINK("http://nimonikapp.com/legislations/142","http://nimonikapp.com/legislations/142")</f>
        <v>http://nimonikapp.com/legislations/142</v>
      </c>
      <c r="H750" s="1" t="s">
        <v>18</v>
      </c>
      <c r="I750" s="1" t="s">
        <v>403</v>
      </c>
      <c r="J750" s="1" t="s">
        <v>404</v>
      </c>
      <c r="K750" s="5">
        <v>44722.0</v>
      </c>
      <c r="L750" s="5">
        <v>44616.0</v>
      </c>
      <c r="M750" s="5">
        <v>44733.0</v>
      </c>
      <c r="N750" s="1" t="s">
        <v>2628</v>
      </c>
    </row>
    <row r="751" hidden="1">
      <c r="A751" s="1" t="s">
        <v>66</v>
      </c>
      <c r="B751" s="1" t="s">
        <v>25</v>
      </c>
      <c r="C751" s="1" t="s">
        <v>2693</v>
      </c>
      <c r="D751" s="1" t="str">
        <f>Vlookup(C751,'Oil &amp; Gas Documents - Canada'!F:M,2,FALSE)</f>
        <v>#N/A</v>
      </c>
      <c r="E751" s="1" t="str">
        <f>Vlookup(C751,'Oil &amp; Gas Documents - Canada'!F:N,9,FALSE)</f>
        <v>#N/A</v>
      </c>
      <c r="F751" s="1" t="s">
        <v>2694</v>
      </c>
      <c r="G751" s="4" t="str">
        <f>HYPERLINK("http://nimonikapp.com/legislations/15067","http://nimonikapp.com/legislations/15067")</f>
        <v>http://nimonikapp.com/legislations/15067</v>
      </c>
      <c r="H751" s="1" t="s">
        <v>18</v>
      </c>
      <c r="I751" s="1" t="s">
        <v>403</v>
      </c>
      <c r="J751" s="1" t="s">
        <v>404</v>
      </c>
      <c r="K751" s="5">
        <v>44722.0</v>
      </c>
      <c r="L751" s="5">
        <v>44616.0</v>
      </c>
      <c r="M751" s="5">
        <v>44733.0</v>
      </c>
    </row>
    <row r="752" hidden="1">
      <c r="A752" s="1" t="s">
        <v>66</v>
      </c>
      <c r="B752" s="1" t="s">
        <v>25</v>
      </c>
      <c r="C752" s="1" t="s">
        <v>2695</v>
      </c>
      <c r="D752" s="1" t="str">
        <f>Vlookup(C752,'Oil &amp; Gas Documents - Canada'!F:M,2,FALSE)</f>
        <v>#N/A</v>
      </c>
      <c r="E752" s="1" t="str">
        <f>Vlookup(C752,'Oil &amp; Gas Documents - Canada'!F:N,9,FALSE)</f>
        <v>#N/A</v>
      </c>
      <c r="F752" s="1" t="s">
        <v>2696</v>
      </c>
      <c r="G752" s="4" t="str">
        <f>HYPERLINK("http://nimonikapp.com/legislations/316003","http://nimonikapp.com/legislations/316003")</f>
        <v>http://nimonikapp.com/legislations/316003</v>
      </c>
      <c r="H752" s="1" t="s">
        <v>18</v>
      </c>
      <c r="I752" s="1" t="s">
        <v>403</v>
      </c>
      <c r="J752" s="1" t="s">
        <v>404</v>
      </c>
      <c r="K752" s="5">
        <v>44722.0</v>
      </c>
      <c r="L752" s="5">
        <v>44616.0</v>
      </c>
      <c r="M752" s="5">
        <v>44733.0</v>
      </c>
    </row>
    <row r="753" hidden="1">
      <c r="A753" s="1" t="s">
        <v>66</v>
      </c>
      <c r="B753" s="1" t="s">
        <v>25</v>
      </c>
      <c r="C753" s="1" t="s">
        <v>2697</v>
      </c>
      <c r="D753" s="1" t="str">
        <f>Vlookup(C753,'Oil &amp; Gas Documents - Canada'!F:M,2,FALSE)</f>
        <v>#N/A</v>
      </c>
      <c r="E753" s="1" t="str">
        <f>Vlookup(C753,'Oil &amp; Gas Documents - Canada'!F:N,9,FALSE)</f>
        <v>#N/A</v>
      </c>
      <c r="F753" s="1" t="s">
        <v>2698</v>
      </c>
      <c r="G753" s="4" t="str">
        <f>HYPERLINK("http://nimonikapp.com/legislations/154128","http://nimonikapp.com/legislations/154128")</f>
        <v>http://nimonikapp.com/legislations/154128</v>
      </c>
      <c r="H753" s="1" t="s">
        <v>18</v>
      </c>
      <c r="I753" s="1" t="s">
        <v>403</v>
      </c>
      <c r="J753" s="1" t="s">
        <v>404</v>
      </c>
      <c r="K753" s="5">
        <v>44722.0</v>
      </c>
      <c r="L753" s="5">
        <v>44616.0</v>
      </c>
      <c r="M753" s="5">
        <v>44733.0</v>
      </c>
    </row>
    <row r="754" hidden="1">
      <c r="A754" s="1" t="s">
        <v>66</v>
      </c>
      <c r="B754" s="1" t="s">
        <v>25</v>
      </c>
      <c r="C754" s="1" t="s">
        <v>2699</v>
      </c>
      <c r="D754" s="1" t="str">
        <f>Vlookup(C754,'Oil &amp; Gas Documents - Canada'!F:M,2,FALSE)</f>
        <v>#N/A</v>
      </c>
      <c r="E754" s="1" t="str">
        <f>Vlookup(C754,'Oil &amp; Gas Documents - Canada'!F:N,9,FALSE)</f>
        <v>#N/A</v>
      </c>
      <c r="F754" s="1" t="s">
        <v>2700</v>
      </c>
      <c r="G754" s="4" t="str">
        <f>HYPERLINK("http://nimonikapp.com/legislations/153093","http://nimonikapp.com/legislations/153093")</f>
        <v>http://nimonikapp.com/legislations/153093</v>
      </c>
      <c r="H754" s="1" t="s">
        <v>18</v>
      </c>
      <c r="I754" s="1" t="s">
        <v>403</v>
      </c>
      <c r="J754" s="1" t="s">
        <v>404</v>
      </c>
      <c r="K754" s="5">
        <v>44722.0</v>
      </c>
      <c r="L754" s="5">
        <v>44616.0</v>
      </c>
      <c r="M754" s="5">
        <v>44733.0</v>
      </c>
    </row>
    <row r="755">
      <c r="A755" s="1" t="s">
        <v>66</v>
      </c>
      <c r="B755" s="1" t="s">
        <v>25</v>
      </c>
      <c r="C755" s="1" t="s">
        <v>400</v>
      </c>
      <c r="D755" s="1" t="s">
        <v>26</v>
      </c>
      <c r="E755" s="1" t="str">
        <f>Vlookup(C755,'Oil &amp; Gas Documents - Canada'!F:N,9,FALSE)</f>
        <v>#N/A</v>
      </c>
      <c r="F755" s="1" t="s">
        <v>399</v>
      </c>
      <c r="G755" s="4" t="str">
        <f>HYPERLINK("http://nimonikapp.com/legislations/15069","http://nimonikapp.com/legislations/15069")</f>
        <v>http://nimonikapp.com/legislations/15069</v>
      </c>
      <c r="H755" s="1" t="s">
        <v>18</v>
      </c>
      <c r="I755" s="1" t="s">
        <v>403</v>
      </c>
      <c r="J755" s="1" t="s">
        <v>404</v>
      </c>
      <c r="K755" s="5">
        <v>44722.0</v>
      </c>
      <c r="L755" s="5">
        <v>44616.0</v>
      </c>
      <c r="M755" s="5">
        <v>44733.0</v>
      </c>
    </row>
    <row r="756">
      <c r="A756" s="1" t="s">
        <v>21</v>
      </c>
      <c r="B756" s="1" t="s">
        <v>25</v>
      </c>
      <c r="C756" s="1" t="s">
        <v>406</v>
      </c>
      <c r="D756" s="1" t="str">
        <f>Vlookup(C756,'Oil &amp; Gas Documents - Canada'!F:M,2,FALSE)</f>
        <v>general, oil_and_gas</v>
      </c>
      <c r="E756" s="1" t="str">
        <f>Vlookup(C756,'Oil &amp; Gas Documents - Canada'!F:N,9,FALSE)</f>
        <v/>
      </c>
      <c r="F756" s="1" t="s">
        <v>405</v>
      </c>
      <c r="G756" s="4" t="str">
        <f>HYPERLINK("http://nimonikapp.com/legislations/4116","http://nimonikapp.com/legislations/4116")</f>
        <v>http://nimonikapp.com/legislations/4116</v>
      </c>
      <c r="H756" s="1" t="s">
        <v>18</v>
      </c>
      <c r="I756" s="1" t="s">
        <v>408</v>
      </c>
      <c r="J756" s="1" t="s">
        <v>409</v>
      </c>
      <c r="K756" s="5">
        <v>44732.0</v>
      </c>
      <c r="L756" s="5">
        <v>44732.0</v>
      </c>
      <c r="M756" s="5">
        <v>44733.0</v>
      </c>
      <c r="N756" s="1" t="s">
        <v>407</v>
      </c>
    </row>
    <row r="757" hidden="1">
      <c r="A757" s="1" t="s">
        <v>73</v>
      </c>
      <c r="B757" s="1" t="s">
        <v>15</v>
      </c>
      <c r="C757" s="1" t="s">
        <v>2701</v>
      </c>
      <c r="D757" s="1" t="str">
        <f>Vlookup(C757,'Oil &amp; Gas Documents - Canada'!F:M,2,FALSE)</f>
        <v>#N/A</v>
      </c>
      <c r="E757" s="1" t="str">
        <f>Vlookup(C757,'Oil &amp; Gas Documents - Canada'!F:N,9,FALSE)</f>
        <v>#N/A</v>
      </c>
      <c r="F757" s="1" t="s">
        <v>2702</v>
      </c>
      <c r="G757" s="4" t="str">
        <f>HYPERLINK("http://nimonikapp.com/legislations/354889","http://nimonikapp.com/legislations/354889")</f>
        <v>http://nimonikapp.com/legislations/354889</v>
      </c>
      <c r="H757" s="1" t="s">
        <v>18</v>
      </c>
      <c r="K757" s="5">
        <v>44721.0</v>
      </c>
      <c r="L757" s="5">
        <v>44562.0</v>
      </c>
      <c r="M757" s="5">
        <v>44732.0</v>
      </c>
    </row>
    <row r="758" hidden="1">
      <c r="A758" s="1" t="s">
        <v>73</v>
      </c>
      <c r="B758" s="1" t="s">
        <v>25</v>
      </c>
      <c r="C758" s="1" t="s">
        <v>2416</v>
      </c>
      <c r="D758" s="1" t="str">
        <f>Vlookup(C758,'Oil &amp; Gas Documents - Canada'!F:M,2,FALSE)</f>
        <v>#N/A</v>
      </c>
      <c r="E758" s="1" t="str">
        <f>Vlookup(C758,'Oil &amp; Gas Documents - Canada'!F:N,9,FALSE)</f>
        <v>#N/A</v>
      </c>
      <c r="F758" s="1" t="s">
        <v>2417</v>
      </c>
      <c r="G758" s="4" t="str">
        <f>HYPERLINK("http://nimonikapp.com/legislations/319393","http://nimonikapp.com/legislations/319393")</f>
        <v>http://nimonikapp.com/legislations/319393</v>
      </c>
      <c r="H758" s="1" t="s">
        <v>18</v>
      </c>
      <c r="I758" s="1" t="s">
        <v>410</v>
      </c>
      <c r="J758" s="1" t="s">
        <v>411</v>
      </c>
      <c r="K758" s="5">
        <v>44721.0</v>
      </c>
      <c r="L758" s="5">
        <v>44440.0</v>
      </c>
      <c r="M758" s="5">
        <v>44732.0</v>
      </c>
      <c r="N758" s="1" t="s">
        <v>2418</v>
      </c>
    </row>
    <row r="759">
      <c r="A759" s="1" t="s">
        <v>73</v>
      </c>
      <c r="B759" s="1" t="s">
        <v>25</v>
      </c>
      <c r="C759" s="1" t="s">
        <v>170</v>
      </c>
      <c r="D759" s="1" t="s">
        <v>26</v>
      </c>
      <c r="E759" s="1" t="str">
        <f>Vlookup(C759,'Oil &amp; Gas Documents - Canada'!F:N,9,FALSE)</f>
        <v>#N/A</v>
      </c>
      <c r="F759" s="1" t="s">
        <v>169</v>
      </c>
      <c r="G759" s="4" t="str">
        <f>HYPERLINK("http://nimonikapp.com/legislations/100784","http://nimonikapp.com/legislations/100784")</f>
        <v>http://nimonikapp.com/legislations/100784</v>
      </c>
      <c r="H759" s="1" t="s">
        <v>18</v>
      </c>
      <c r="I759" s="1" t="s">
        <v>410</v>
      </c>
      <c r="J759" s="1" t="s">
        <v>411</v>
      </c>
      <c r="K759" s="5">
        <v>44721.0</v>
      </c>
      <c r="L759" s="5">
        <v>44440.0</v>
      </c>
      <c r="M759" s="5">
        <v>44732.0</v>
      </c>
      <c r="N759" s="1" t="s">
        <v>171</v>
      </c>
    </row>
    <row r="760" hidden="1">
      <c r="A760" s="1" t="s">
        <v>73</v>
      </c>
      <c r="B760" s="1" t="s">
        <v>25</v>
      </c>
      <c r="C760" s="1" t="s">
        <v>1074</v>
      </c>
      <c r="D760" s="1" t="str">
        <f>Vlookup(C760,'Oil &amp; Gas Documents - Canada'!F:M,2,FALSE)</f>
        <v>#N/A</v>
      </c>
      <c r="E760" s="1" t="str">
        <f>Vlookup(C760,'Oil &amp; Gas Documents - Canada'!F:N,9,FALSE)</f>
        <v>#N/A</v>
      </c>
      <c r="F760" s="1" t="s">
        <v>1075</v>
      </c>
      <c r="G760" s="4" t="str">
        <f>HYPERLINK("http://nimonikapp.com/legislations/319397","http://nimonikapp.com/legislations/319397")</f>
        <v>http://nimonikapp.com/legislations/319397</v>
      </c>
      <c r="H760" s="1" t="s">
        <v>18</v>
      </c>
      <c r="I760" s="1" t="s">
        <v>410</v>
      </c>
      <c r="J760" s="1" t="s">
        <v>411</v>
      </c>
      <c r="K760" s="5">
        <v>44721.0</v>
      </c>
      <c r="L760" s="5">
        <v>44440.0</v>
      </c>
      <c r="M760" s="5">
        <v>44732.0</v>
      </c>
      <c r="N760" s="1" t="s">
        <v>1078</v>
      </c>
    </row>
    <row r="761" hidden="1">
      <c r="A761" s="1" t="s">
        <v>73</v>
      </c>
      <c r="B761" s="1" t="s">
        <v>25</v>
      </c>
      <c r="C761" s="1" t="s">
        <v>2464</v>
      </c>
      <c r="D761" s="1" t="str">
        <f>Vlookup(C761,'Oil &amp; Gas Documents - Canada'!F:M,2,FALSE)</f>
        <v>#N/A</v>
      </c>
      <c r="E761" s="1" t="str">
        <f>Vlookup(C761,'Oil &amp; Gas Documents - Canada'!F:N,9,FALSE)</f>
        <v>#N/A</v>
      </c>
      <c r="F761" s="1" t="s">
        <v>2465</v>
      </c>
      <c r="G761" s="4" t="str">
        <f>HYPERLINK("http://nimonikapp.com/legislations/688","http://nimonikapp.com/legislations/688")</f>
        <v>http://nimonikapp.com/legislations/688</v>
      </c>
      <c r="H761" s="1" t="s">
        <v>18</v>
      </c>
      <c r="I761" s="1" t="s">
        <v>410</v>
      </c>
      <c r="J761" s="1" t="s">
        <v>411</v>
      </c>
      <c r="K761" s="5">
        <v>44721.0</v>
      </c>
      <c r="L761" s="5">
        <v>44440.0</v>
      </c>
      <c r="M761" s="5">
        <v>44732.0</v>
      </c>
      <c r="N761" s="1" t="s">
        <v>2466</v>
      </c>
    </row>
    <row r="762" hidden="1">
      <c r="A762" s="1" t="s">
        <v>73</v>
      </c>
      <c r="B762" s="1" t="s">
        <v>25</v>
      </c>
      <c r="C762" s="1" t="s">
        <v>2456</v>
      </c>
      <c r="D762" s="1" t="str">
        <f>Vlookup(C762,'Oil &amp; Gas Documents - Canada'!F:M,2,FALSE)</f>
        <v>#N/A</v>
      </c>
      <c r="E762" s="1" t="str">
        <f>Vlookup(C762,'Oil &amp; Gas Documents - Canada'!F:N,9,FALSE)</f>
        <v>#N/A</v>
      </c>
      <c r="F762" s="1" t="s">
        <v>2457</v>
      </c>
      <c r="G762" s="4" t="str">
        <f>HYPERLINK("http://nimonikapp.com/legislations/797","http://nimonikapp.com/legislations/797")</f>
        <v>http://nimonikapp.com/legislations/797</v>
      </c>
      <c r="H762" s="1" t="s">
        <v>18</v>
      </c>
      <c r="I762" s="1" t="s">
        <v>410</v>
      </c>
      <c r="J762" s="1" t="s">
        <v>411</v>
      </c>
      <c r="K762" s="5">
        <v>44721.0</v>
      </c>
      <c r="L762" s="5">
        <v>44440.0</v>
      </c>
      <c r="M762" s="5">
        <v>44732.0</v>
      </c>
      <c r="N762" s="1" t="s">
        <v>2458</v>
      </c>
    </row>
    <row r="763" hidden="1">
      <c r="A763" s="1" t="s">
        <v>73</v>
      </c>
      <c r="B763" s="1" t="s">
        <v>25</v>
      </c>
      <c r="C763" s="1" t="s">
        <v>1079</v>
      </c>
      <c r="D763" s="1" t="str">
        <f>Vlookup(C763,'Oil &amp; Gas Documents - Canada'!F:M,2,FALSE)</f>
        <v>#N/A</v>
      </c>
      <c r="E763" s="1" t="str">
        <f>Vlookup(C763,'Oil &amp; Gas Documents - Canada'!F:N,9,FALSE)</f>
        <v>#N/A</v>
      </c>
      <c r="F763" s="1" t="s">
        <v>1080</v>
      </c>
      <c r="G763" s="4" t="str">
        <f>HYPERLINK("http://nimonikapp.com/legislations/697","http://nimonikapp.com/legislations/697")</f>
        <v>http://nimonikapp.com/legislations/697</v>
      </c>
      <c r="H763" s="1" t="s">
        <v>18</v>
      </c>
      <c r="I763" s="1" t="s">
        <v>410</v>
      </c>
      <c r="J763" s="1" t="s">
        <v>411</v>
      </c>
      <c r="K763" s="5">
        <v>44721.0</v>
      </c>
      <c r="L763" s="5">
        <v>44440.0</v>
      </c>
      <c r="M763" s="5">
        <v>44732.0</v>
      </c>
      <c r="N763" s="1" t="s">
        <v>1081</v>
      </c>
    </row>
    <row r="764" hidden="1">
      <c r="A764" s="1" t="s">
        <v>73</v>
      </c>
      <c r="B764" s="1" t="s">
        <v>25</v>
      </c>
      <c r="C764" s="1" t="s">
        <v>1066</v>
      </c>
      <c r="D764" s="1" t="str">
        <f>Vlookup(C764,'Oil &amp; Gas Documents - Canada'!F:M,2,FALSE)</f>
        <v>#N/A</v>
      </c>
      <c r="E764" s="1" t="str">
        <f>Vlookup(C764,'Oil &amp; Gas Documents - Canada'!F:N,9,FALSE)</f>
        <v>#N/A</v>
      </c>
      <c r="F764" s="1" t="s">
        <v>1067</v>
      </c>
      <c r="G764" s="4" t="str">
        <f>HYPERLINK("http://nimonikapp.com/legislations/786","http://nimonikapp.com/legislations/786")</f>
        <v>http://nimonikapp.com/legislations/786</v>
      </c>
      <c r="H764" s="1" t="s">
        <v>18</v>
      </c>
      <c r="I764" s="1" t="s">
        <v>410</v>
      </c>
      <c r="J764" s="1" t="s">
        <v>411</v>
      </c>
      <c r="K764" s="5">
        <v>44721.0</v>
      </c>
      <c r="L764" s="5">
        <v>44440.0</v>
      </c>
      <c r="M764" s="5">
        <v>44732.0</v>
      </c>
      <c r="N764" s="1" t="s">
        <v>1068</v>
      </c>
    </row>
    <row r="765" hidden="1">
      <c r="A765" s="1" t="s">
        <v>73</v>
      </c>
      <c r="B765" s="1" t="s">
        <v>25</v>
      </c>
      <c r="C765" s="1" t="s">
        <v>2467</v>
      </c>
      <c r="D765" s="1" t="str">
        <f>Vlookup(C765,'Oil &amp; Gas Documents - Canada'!F:M,2,FALSE)</f>
        <v>#N/A</v>
      </c>
      <c r="E765" s="1" t="str">
        <f>Vlookup(C765,'Oil &amp; Gas Documents - Canada'!F:N,9,FALSE)</f>
        <v>#N/A</v>
      </c>
      <c r="F765" s="1" t="s">
        <v>2468</v>
      </c>
      <c r="G765" s="4" t="str">
        <f>HYPERLINK("http://nimonikapp.com/legislations/319369","http://nimonikapp.com/legislations/319369")</f>
        <v>http://nimonikapp.com/legislations/319369</v>
      </c>
      <c r="H765" s="1" t="s">
        <v>18</v>
      </c>
      <c r="I765" s="1" t="s">
        <v>410</v>
      </c>
      <c r="J765" s="1" t="s">
        <v>411</v>
      </c>
      <c r="K765" s="5">
        <v>44721.0</v>
      </c>
      <c r="L765" s="5">
        <v>44440.0</v>
      </c>
      <c r="M765" s="5">
        <v>44732.0</v>
      </c>
      <c r="N765" s="1" t="s">
        <v>2469</v>
      </c>
    </row>
    <row r="766" hidden="1">
      <c r="A766" s="1" t="s">
        <v>73</v>
      </c>
      <c r="B766" s="1" t="s">
        <v>25</v>
      </c>
      <c r="C766" s="1" t="s">
        <v>2470</v>
      </c>
      <c r="D766" s="1" t="str">
        <f>Vlookup(C766,'Oil &amp; Gas Documents - Canada'!F:M,2,FALSE)</f>
        <v>#N/A</v>
      </c>
      <c r="E766" s="1" t="str">
        <f>Vlookup(C766,'Oil &amp; Gas Documents - Canada'!F:N,9,FALSE)</f>
        <v>#N/A</v>
      </c>
      <c r="F766" s="1" t="s">
        <v>2471</v>
      </c>
      <c r="G766" s="4" t="str">
        <f>HYPERLINK("http://nimonikapp.com/legislations/319368","http://nimonikapp.com/legislations/319368")</f>
        <v>http://nimonikapp.com/legislations/319368</v>
      </c>
      <c r="H766" s="1" t="s">
        <v>18</v>
      </c>
      <c r="I766" s="1" t="s">
        <v>410</v>
      </c>
      <c r="J766" s="1" t="s">
        <v>411</v>
      </c>
      <c r="K766" s="5">
        <v>44721.0</v>
      </c>
      <c r="L766" s="5">
        <v>44440.0</v>
      </c>
      <c r="M766" s="5">
        <v>44732.0</v>
      </c>
    </row>
    <row r="767" hidden="1">
      <c r="A767" s="1" t="s">
        <v>73</v>
      </c>
      <c r="B767" s="1" t="s">
        <v>25</v>
      </c>
      <c r="C767" s="1" t="s">
        <v>2459</v>
      </c>
      <c r="D767" s="1" t="str">
        <f>Vlookup(C767,'Oil &amp; Gas Documents - Canada'!F:M,2,FALSE)</f>
        <v>#N/A</v>
      </c>
      <c r="E767" s="1" t="str">
        <f>Vlookup(C767,'Oil &amp; Gas Documents - Canada'!F:N,9,FALSE)</f>
        <v>#N/A</v>
      </c>
      <c r="F767" s="1" t="s">
        <v>2460</v>
      </c>
      <c r="G767" s="4" t="str">
        <f>HYPERLINK("http://nimonikapp.com/legislations/321812","http://nimonikapp.com/legislations/321812")</f>
        <v>http://nimonikapp.com/legislations/321812</v>
      </c>
      <c r="H767" s="1" t="s">
        <v>18</v>
      </c>
      <c r="I767" s="1" t="s">
        <v>410</v>
      </c>
      <c r="J767" s="1" t="s">
        <v>411</v>
      </c>
      <c r="K767" s="5">
        <v>44721.0</v>
      </c>
      <c r="L767" s="5">
        <v>44440.0</v>
      </c>
      <c r="M767" s="5">
        <v>44732.0</v>
      </c>
      <c r="N767" s="1" t="s">
        <v>2461</v>
      </c>
    </row>
    <row r="768" hidden="1">
      <c r="A768" s="1" t="s">
        <v>73</v>
      </c>
      <c r="B768" s="1" t="s">
        <v>25</v>
      </c>
      <c r="C768" s="1" t="s">
        <v>1082</v>
      </c>
      <c r="D768" s="1" t="str">
        <f>Vlookup(C768,'Oil &amp; Gas Documents - Canada'!F:M,2,FALSE)</f>
        <v>#N/A</v>
      </c>
      <c r="E768" s="1" t="str">
        <f>Vlookup(C768,'Oil &amp; Gas Documents - Canada'!F:N,9,FALSE)</f>
        <v>#N/A</v>
      </c>
      <c r="F768" s="1" t="s">
        <v>1083</v>
      </c>
      <c r="G768" s="4" t="str">
        <f>HYPERLINK("http://nimonikapp.com/legislations/319402","http://nimonikapp.com/legislations/319402")</f>
        <v>http://nimonikapp.com/legislations/319402</v>
      </c>
      <c r="H768" s="1" t="s">
        <v>18</v>
      </c>
      <c r="I768" s="1" t="s">
        <v>410</v>
      </c>
      <c r="J768" s="1" t="s">
        <v>411</v>
      </c>
      <c r="K768" s="5">
        <v>44721.0</v>
      </c>
      <c r="L768" s="5">
        <v>44440.0</v>
      </c>
      <c r="M768" s="5">
        <v>44732.0</v>
      </c>
      <c r="N768" s="1" t="s">
        <v>1084</v>
      </c>
    </row>
    <row r="769" hidden="1">
      <c r="A769" s="1" t="s">
        <v>1105</v>
      </c>
      <c r="B769" s="1" t="s">
        <v>15</v>
      </c>
      <c r="C769" s="1" t="s">
        <v>2703</v>
      </c>
      <c r="D769" s="1" t="str">
        <f>Vlookup(C769,'Oil &amp; Gas Documents - Canada'!F:M,2,FALSE)</f>
        <v>#N/A</v>
      </c>
      <c r="E769" s="1" t="str">
        <f>Vlookup(C769,'Oil &amp; Gas Documents - Canada'!F:N,9,FALSE)</f>
        <v>#N/A</v>
      </c>
      <c r="F769" s="1" t="s">
        <v>2704</v>
      </c>
      <c r="G769" s="4" t="str">
        <f>HYPERLINK("http://nimonikapp.com/legislations/354500","http://nimonikapp.com/legislations/354500")</f>
        <v>http://nimonikapp.com/legislations/354500</v>
      </c>
      <c r="H769" s="1" t="s">
        <v>18</v>
      </c>
      <c r="K769" s="5">
        <v>44721.0</v>
      </c>
      <c r="L769" s="5">
        <v>44743.0</v>
      </c>
      <c r="M769" s="5">
        <v>44729.0</v>
      </c>
    </row>
    <row r="770" hidden="1">
      <c r="A770" s="1" t="s">
        <v>73</v>
      </c>
      <c r="B770" s="1" t="s">
        <v>15</v>
      </c>
      <c r="C770" s="1" t="s">
        <v>2705</v>
      </c>
      <c r="D770" s="1" t="str">
        <f>Vlookup(C770,'Oil &amp; Gas Documents - Canada'!F:M,2,FALSE)</f>
        <v>#N/A</v>
      </c>
      <c r="E770" s="1" t="str">
        <f>Vlookup(C770,'Oil &amp; Gas Documents - Canada'!F:N,9,FALSE)</f>
        <v>#N/A</v>
      </c>
      <c r="F770" s="1" t="s">
        <v>2706</v>
      </c>
      <c r="G770" s="4" t="str">
        <f>HYPERLINK("http://nimonikapp.com/legislations/354493","http://nimonikapp.com/legislations/354493")</f>
        <v>http://nimonikapp.com/legislations/354493</v>
      </c>
      <c r="H770" s="1" t="s">
        <v>69</v>
      </c>
      <c r="K770" s="5">
        <v>44728.0</v>
      </c>
      <c r="M770" s="5">
        <v>44729.0</v>
      </c>
    </row>
    <row r="771" hidden="1">
      <c r="A771" s="1" t="s">
        <v>202</v>
      </c>
      <c r="B771" s="1" t="s">
        <v>352</v>
      </c>
      <c r="C771" s="1" t="s">
        <v>1409</v>
      </c>
      <c r="D771" s="1" t="str">
        <f>Vlookup(C771,'Oil &amp; Gas Documents - Canada'!F:M,2,FALSE)</f>
        <v>#N/A</v>
      </c>
      <c r="E771" s="1" t="str">
        <f>Vlookup(C771,'Oil &amp; Gas Documents - Canada'!F:N,9,FALSE)</f>
        <v>#N/A</v>
      </c>
      <c r="F771" s="1" t="s">
        <v>1410</v>
      </c>
      <c r="G771" s="4" t="str">
        <f>HYPERLINK("http://nimonikapp.com/legislations/350586","http://nimonikapp.com/legislations/350586")</f>
        <v>http://nimonikapp.com/legislations/350586</v>
      </c>
      <c r="H771" s="1" t="s">
        <v>18</v>
      </c>
      <c r="I771" s="1" t="s">
        <v>2707</v>
      </c>
      <c r="J771" s="1" t="s">
        <v>2708</v>
      </c>
      <c r="K771" s="5">
        <v>44713.0</v>
      </c>
      <c r="L771" s="5">
        <v>44713.0</v>
      </c>
      <c r="M771" s="5">
        <v>44729.0</v>
      </c>
      <c r="N771" s="1" t="s">
        <v>1413</v>
      </c>
    </row>
    <row r="772" hidden="1">
      <c r="A772" s="1" t="s">
        <v>202</v>
      </c>
      <c r="B772" s="1" t="s">
        <v>352</v>
      </c>
      <c r="C772" s="1" t="s">
        <v>2709</v>
      </c>
      <c r="D772" s="1" t="str">
        <f>Vlookup(C772,'Oil &amp; Gas Documents - Canada'!F:M,2,FALSE)</f>
        <v>#N/A</v>
      </c>
      <c r="E772" s="1" t="str">
        <f>Vlookup(C772,'Oil &amp; Gas Documents - Canada'!F:N,9,FALSE)</f>
        <v>#N/A</v>
      </c>
      <c r="F772" s="1" t="s">
        <v>1410</v>
      </c>
      <c r="G772" s="4" t="str">
        <f>HYPERLINK("http://nimonikapp.com/legislations/350584","http://nimonikapp.com/legislations/350584")</f>
        <v>http://nimonikapp.com/legislations/350584</v>
      </c>
      <c r="H772" s="1" t="s">
        <v>18</v>
      </c>
      <c r="I772" s="1" t="s">
        <v>2707</v>
      </c>
      <c r="J772" s="1" t="s">
        <v>2708</v>
      </c>
      <c r="K772" s="5">
        <v>44713.0</v>
      </c>
      <c r="L772" s="5">
        <v>44713.0</v>
      </c>
      <c r="M772" s="5">
        <v>44729.0</v>
      </c>
      <c r="N772" s="1" t="s">
        <v>2710</v>
      </c>
    </row>
    <row r="773" hidden="1">
      <c r="A773" s="1" t="s">
        <v>24</v>
      </c>
      <c r="B773" s="1" t="s">
        <v>25</v>
      </c>
      <c r="C773" s="1" t="s">
        <v>2711</v>
      </c>
      <c r="D773" s="1" t="str">
        <f>Vlookup(C773,'Oil &amp; Gas Documents - Canada'!F:M,2,FALSE)</f>
        <v>#N/A</v>
      </c>
      <c r="E773" s="1" t="str">
        <f>Vlookup(C773,'Oil &amp; Gas Documents - Canada'!F:N,9,FALSE)</f>
        <v>#N/A</v>
      </c>
      <c r="F773" s="1" t="s">
        <v>2712</v>
      </c>
      <c r="G773" s="4" t="str">
        <f>HYPERLINK("http://nimonikapp.com/legislations/7112","http://nimonikapp.com/legislations/7112")</f>
        <v>http://nimonikapp.com/legislations/7112</v>
      </c>
      <c r="H773" s="1" t="s">
        <v>18</v>
      </c>
      <c r="I773" s="1" t="s">
        <v>2713</v>
      </c>
      <c r="J773" s="1" t="s">
        <v>2714</v>
      </c>
      <c r="K773" s="5">
        <v>44726.0</v>
      </c>
      <c r="M773" s="5">
        <v>44729.0</v>
      </c>
      <c r="N773" s="1" t="s">
        <v>2715</v>
      </c>
    </row>
    <row r="774" hidden="1">
      <c r="A774" s="1" t="s">
        <v>557</v>
      </c>
      <c r="B774" s="1" t="s">
        <v>25</v>
      </c>
      <c r="C774" s="1" t="s">
        <v>2716</v>
      </c>
      <c r="D774" s="1" t="str">
        <f>Vlookup(C774,'Oil &amp; Gas Documents - Canada'!F:M,2,FALSE)</f>
        <v>#N/A</v>
      </c>
      <c r="E774" s="1" t="str">
        <f>Vlookup(C774,'Oil &amp; Gas Documents - Canada'!F:N,9,FALSE)</f>
        <v>#N/A</v>
      </c>
      <c r="F774" s="1" t="s">
        <v>1533</v>
      </c>
      <c r="G774" s="4" t="str">
        <f>HYPERLINK("http://nimonikapp.com/legislations/275","http://nimonikapp.com/legislations/275")</f>
        <v>http://nimonikapp.com/legislations/275</v>
      </c>
      <c r="H774" s="1" t="s">
        <v>18</v>
      </c>
      <c r="I774" s="1" t="s">
        <v>2717</v>
      </c>
      <c r="J774" s="1" t="s">
        <v>2718</v>
      </c>
      <c r="K774" s="5">
        <v>44715.0</v>
      </c>
      <c r="L774" s="5">
        <v>44715.0</v>
      </c>
      <c r="M774" s="5">
        <v>44729.0</v>
      </c>
      <c r="N774" s="1" t="s">
        <v>2719</v>
      </c>
    </row>
    <row r="775" hidden="1">
      <c r="A775" s="1" t="s">
        <v>557</v>
      </c>
      <c r="B775" s="1" t="s">
        <v>25</v>
      </c>
      <c r="C775" s="1" t="s">
        <v>2720</v>
      </c>
      <c r="D775" s="1" t="str">
        <f>Vlookup(C775,'Oil &amp; Gas Documents - Canada'!F:M,2,FALSE)</f>
        <v>#N/A</v>
      </c>
      <c r="E775" s="1" t="str">
        <f>Vlookup(C775,'Oil &amp; Gas Documents - Canada'!F:N,9,FALSE)</f>
        <v>#N/A</v>
      </c>
      <c r="F775" s="1" t="s">
        <v>2721</v>
      </c>
      <c r="G775" s="4" t="str">
        <f>HYPERLINK("http://nimonikapp.com/legislations/277","http://nimonikapp.com/legislations/277")</f>
        <v>http://nimonikapp.com/legislations/277</v>
      </c>
      <c r="H775" s="1" t="s">
        <v>18</v>
      </c>
      <c r="I775" s="1" t="s">
        <v>2722</v>
      </c>
      <c r="J775" s="1" t="s">
        <v>2723</v>
      </c>
      <c r="K775" s="5">
        <v>44715.0</v>
      </c>
      <c r="L775" s="5">
        <v>44715.0</v>
      </c>
      <c r="M775" s="5">
        <v>44729.0</v>
      </c>
      <c r="N775" s="1" t="s">
        <v>2724</v>
      </c>
    </row>
    <row r="776" hidden="1">
      <c r="A776" s="1" t="s">
        <v>24</v>
      </c>
      <c r="B776" s="1" t="s">
        <v>25</v>
      </c>
      <c r="C776" s="1" t="s">
        <v>2725</v>
      </c>
      <c r="D776" s="1" t="str">
        <f>Vlookup(C776,'Oil &amp; Gas Documents - Canada'!F:M,2,FALSE)</f>
        <v>#N/A</v>
      </c>
      <c r="E776" s="1" t="str">
        <f>Vlookup(C776,'Oil &amp; Gas Documents - Canada'!F:N,9,FALSE)</f>
        <v>#N/A</v>
      </c>
      <c r="F776" s="1" t="s">
        <v>2726</v>
      </c>
      <c r="G776" s="4" t="str">
        <f>HYPERLINK("http://nimonikapp.com/legislations/14334","http://nimonikapp.com/legislations/14334")</f>
        <v>http://nimonikapp.com/legislations/14334</v>
      </c>
      <c r="H776" s="1" t="s">
        <v>18</v>
      </c>
      <c r="I776" s="1" t="s">
        <v>2727</v>
      </c>
      <c r="J776" s="1" t="s">
        <v>2728</v>
      </c>
      <c r="K776" s="5">
        <v>44726.0</v>
      </c>
      <c r="L776" s="5">
        <v>44721.0</v>
      </c>
      <c r="M776" s="5">
        <v>44729.0</v>
      </c>
      <c r="N776" s="1" t="s">
        <v>2729</v>
      </c>
    </row>
    <row r="777" hidden="1">
      <c r="A777" s="1" t="s">
        <v>14</v>
      </c>
      <c r="B777" s="1" t="s">
        <v>25</v>
      </c>
      <c r="C777" s="1" t="s">
        <v>2730</v>
      </c>
      <c r="D777" s="1" t="str">
        <f>Vlookup(C777,'Oil &amp; Gas Documents - Canada'!F:M,2,FALSE)</f>
        <v>#N/A</v>
      </c>
      <c r="E777" s="1" t="str">
        <f>Vlookup(C777,'Oil &amp; Gas Documents - Canada'!F:N,9,FALSE)</f>
        <v>#N/A</v>
      </c>
      <c r="F777" s="1" t="s">
        <v>2731</v>
      </c>
      <c r="G777" s="4" t="str">
        <f>HYPERLINK("http://nimonikapp.com/legislations/636","http://nimonikapp.com/legislations/636")</f>
        <v>http://nimonikapp.com/legislations/636</v>
      </c>
      <c r="H777" s="1" t="s">
        <v>18</v>
      </c>
      <c r="I777" s="1" t="s">
        <v>2732</v>
      </c>
      <c r="J777" s="1" t="s">
        <v>2733</v>
      </c>
      <c r="K777" s="5">
        <v>44699.0</v>
      </c>
      <c r="L777" s="5">
        <v>44699.0</v>
      </c>
      <c r="M777" s="5">
        <v>44728.0</v>
      </c>
      <c r="N777" s="1" t="s">
        <v>2734</v>
      </c>
    </row>
    <row r="778" hidden="1">
      <c r="A778" s="1" t="s">
        <v>14</v>
      </c>
      <c r="B778" s="1" t="s">
        <v>25</v>
      </c>
      <c r="C778" s="1" t="s">
        <v>2735</v>
      </c>
      <c r="D778" s="1" t="str">
        <f>Vlookup(C778,'Oil &amp; Gas Documents - Canada'!F:M,2,FALSE)</f>
        <v>#N/A</v>
      </c>
      <c r="E778" s="1" t="str">
        <f>Vlookup(C778,'Oil &amp; Gas Documents - Canada'!F:N,9,FALSE)</f>
        <v>#N/A</v>
      </c>
      <c r="F778" s="1" t="s">
        <v>2736</v>
      </c>
      <c r="G778" s="4" t="str">
        <f>HYPERLINK("http://nimonikapp.com/legislations/633","http://nimonikapp.com/legislations/633")</f>
        <v>http://nimonikapp.com/legislations/633</v>
      </c>
      <c r="H778" s="1" t="s">
        <v>18</v>
      </c>
      <c r="I778" s="1" t="s">
        <v>2737</v>
      </c>
      <c r="J778" s="1" t="s">
        <v>2738</v>
      </c>
      <c r="K778" s="5">
        <v>44699.0</v>
      </c>
      <c r="L778" s="5">
        <v>44699.0</v>
      </c>
      <c r="M778" s="5">
        <v>44728.0</v>
      </c>
      <c r="N778" s="1" t="s">
        <v>2739</v>
      </c>
    </row>
    <row r="779" hidden="1">
      <c r="A779" s="1" t="s">
        <v>14</v>
      </c>
      <c r="B779" s="1" t="s">
        <v>25</v>
      </c>
      <c r="C779" s="1" t="s">
        <v>2740</v>
      </c>
      <c r="D779" s="1" t="str">
        <f>Vlookup(C779,'Oil &amp; Gas Documents - Canada'!F:M,2,FALSE)</f>
        <v>#N/A</v>
      </c>
      <c r="E779" s="1" t="str">
        <f>Vlookup(C779,'Oil &amp; Gas Documents - Canada'!F:N,9,FALSE)</f>
        <v>#N/A</v>
      </c>
      <c r="F779" s="1" t="s">
        <v>2741</v>
      </c>
      <c r="G779" s="4" t="str">
        <f>HYPERLINK("http://nimonikapp.com/legislations/629","http://nimonikapp.com/legislations/629")</f>
        <v>http://nimonikapp.com/legislations/629</v>
      </c>
      <c r="H779" s="1" t="s">
        <v>18</v>
      </c>
      <c r="I779" s="1" t="s">
        <v>2737</v>
      </c>
      <c r="J779" s="1" t="s">
        <v>2738</v>
      </c>
      <c r="K779" s="5">
        <v>44699.0</v>
      </c>
      <c r="L779" s="5">
        <v>44699.0</v>
      </c>
      <c r="M779" s="5">
        <v>44728.0</v>
      </c>
    </row>
    <row r="780" hidden="1">
      <c r="A780" s="1" t="s">
        <v>14</v>
      </c>
      <c r="B780" s="1" t="s">
        <v>25</v>
      </c>
      <c r="C780" s="1" t="s">
        <v>1483</v>
      </c>
      <c r="D780" s="1" t="str">
        <f>Vlookup(C780,'Oil &amp; Gas Documents - Canada'!F:M,2,FALSE)</f>
        <v>#N/A</v>
      </c>
      <c r="E780" s="1" t="str">
        <f>Vlookup(C780,'Oil &amp; Gas Documents - Canada'!F:N,9,FALSE)</f>
        <v>#N/A</v>
      </c>
      <c r="F780" s="1" t="s">
        <v>1484</v>
      </c>
      <c r="G780" s="4" t="str">
        <f>HYPERLINK("http://nimonikapp.com/legislations/627","http://nimonikapp.com/legislations/627")</f>
        <v>http://nimonikapp.com/legislations/627</v>
      </c>
      <c r="H780" s="1" t="s">
        <v>18</v>
      </c>
      <c r="I780" s="1" t="s">
        <v>2737</v>
      </c>
      <c r="J780" s="1" t="s">
        <v>2738</v>
      </c>
      <c r="K780" s="5">
        <v>44699.0</v>
      </c>
      <c r="L780" s="5">
        <v>44699.0</v>
      </c>
      <c r="M780" s="5">
        <v>44728.0</v>
      </c>
      <c r="N780" s="1" t="s">
        <v>1487</v>
      </c>
    </row>
    <row r="781" hidden="1">
      <c r="A781" s="1" t="s">
        <v>14</v>
      </c>
      <c r="B781" s="1" t="s">
        <v>25</v>
      </c>
      <c r="C781" s="1" t="s">
        <v>2742</v>
      </c>
      <c r="D781" s="1" t="str">
        <f>Vlookup(C781,'Oil &amp; Gas Documents - Canada'!F:M,2,FALSE)</f>
        <v>#N/A</v>
      </c>
      <c r="E781" s="1" t="str">
        <f>Vlookup(C781,'Oil &amp; Gas Documents - Canada'!F:N,9,FALSE)</f>
        <v>#N/A</v>
      </c>
      <c r="F781" s="1" t="s">
        <v>2743</v>
      </c>
      <c r="G781" s="4" t="str">
        <f>HYPERLINK("http://nimonikapp.com/legislations/125767","http://nimonikapp.com/legislations/125767")</f>
        <v>http://nimonikapp.com/legislations/125767</v>
      </c>
      <c r="H781" s="1" t="s">
        <v>18</v>
      </c>
      <c r="I781" s="1" t="s">
        <v>2744</v>
      </c>
      <c r="J781" s="1" t="s">
        <v>2745</v>
      </c>
      <c r="K781" s="5">
        <v>44699.0</v>
      </c>
      <c r="M781" s="5">
        <v>44728.0</v>
      </c>
      <c r="N781" s="1" t="s">
        <v>2746</v>
      </c>
    </row>
    <row r="782" hidden="1">
      <c r="A782" s="1" t="s">
        <v>221</v>
      </c>
      <c r="B782" s="1" t="s">
        <v>25</v>
      </c>
      <c r="C782" s="1" t="s">
        <v>2747</v>
      </c>
      <c r="D782" s="1" t="str">
        <f>Vlookup(C782,'Oil &amp; Gas Documents - Canada'!F:M,2,FALSE)</f>
        <v>#N/A</v>
      </c>
      <c r="E782" s="1" t="str">
        <f>Vlookup(C782,'Oil &amp; Gas Documents - Canada'!F:N,9,FALSE)</f>
        <v>#N/A</v>
      </c>
      <c r="F782" s="1" t="s">
        <v>2748</v>
      </c>
      <c r="G782" s="4" t="str">
        <f>HYPERLINK("http://nimonikapp.com/legislations/10640","http://nimonikapp.com/legislations/10640")</f>
        <v>http://nimonikapp.com/legislations/10640</v>
      </c>
      <c r="H782" s="1" t="s">
        <v>18</v>
      </c>
      <c r="I782" s="1" t="s">
        <v>2749</v>
      </c>
      <c r="J782" s="1" t="s">
        <v>2750</v>
      </c>
      <c r="K782" s="5">
        <v>44713.0</v>
      </c>
      <c r="M782" s="5">
        <v>44728.0</v>
      </c>
      <c r="N782" s="1" t="s">
        <v>2751</v>
      </c>
    </row>
    <row r="783" hidden="1">
      <c r="A783" s="1" t="s">
        <v>221</v>
      </c>
      <c r="B783" s="1" t="s">
        <v>25</v>
      </c>
      <c r="C783" s="1" t="s">
        <v>2752</v>
      </c>
      <c r="D783" s="1" t="str">
        <f>Vlookup(C783,'Oil &amp; Gas Documents - Canada'!F:M,2,FALSE)</f>
        <v>#N/A</v>
      </c>
      <c r="E783" s="1" t="str">
        <f>Vlookup(C783,'Oil &amp; Gas Documents - Canada'!F:N,9,FALSE)</f>
        <v>#N/A</v>
      </c>
      <c r="F783" s="1" t="s">
        <v>2753</v>
      </c>
      <c r="G783" s="4" t="str">
        <f>HYPERLINK("http://nimonikapp.com/legislations/237","http://nimonikapp.com/legislations/237")</f>
        <v>http://nimonikapp.com/legislations/237</v>
      </c>
      <c r="H783" s="1" t="s">
        <v>18</v>
      </c>
      <c r="I783" s="1" t="s">
        <v>2749</v>
      </c>
      <c r="J783" s="1" t="s">
        <v>2750</v>
      </c>
      <c r="K783" s="5">
        <v>44713.0</v>
      </c>
      <c r="M783" s="5">
        <v>44728.0</v>
      </c>
    </row>
    <row r="784" hidden="1">
      <c r="A784" s="1" t="s">
        <v>221</v>
      </c>
      <c r="B784" s="1" t="s">
        <v>25</v>
      </c>
      <c r="C784" s="1" t="s">
        <v>2754</v>
      </c>
      <c r="D784" s="1" t="str">
        <f>Vlookup(C784,'Oil &amp; Gas Documents - Canada'!F:M,2,FALSE)</f>
        <v>#N/A</v>
      </c>
      <c r="E784" s="1" t="str">
        <f>Vlookup(C784,'Oil &amp; Gas Documents - Canada'!F:N,9,FALSE)</f>
        <v>#N/A</v>
      </c>
      <c r="F784" s="1" t="s">
        <v>2755</v>
      </c>
      <c r="G784" s="4" t="str">
        <f>HYPERLINK("http://nimonikapp.com/legislations/256","http://nimonikapp.com/legislations/256")</f>
        <v>http://nimonikapp.com/legislations/256</v>
      </c>
      <c r="H784" s="1" t="s">
        <v>18</v>
      </c>
      <c r="I784" s="1" t="s">
        <v>2756</v>
      </c>
      <c r="J784" s="1" t="s">
        <v>2757</v>
      </c>
      <c r="K784" s="5">
        <v>44713.0</v>
      </c>
      <c r="L784" s="5">
        <v>44328.0</v>
      </c>
      <c r="M784" s="5">
        <v>44728.0</v>
      </c>
      <c r="N784" s="1" t="s">
        <v>2758</v>
      </c>
    </row>
    <row r="785" hidden="1">
      <c r="A785" s="1" t="s">
        <v>221</v>
      </c>
      <c r="B785" s="1" t="s">
        <v>25</v>
      </c>
      <c r="C785" s="1" t="s">
        <v>2477</v>
      </c>
      <c r="D785" s="1" t="str">
        <f>Vlookup(C785,'Oil &amp; Gas Documents - Canada'!F:M,2,FALSE)</f>
        <v>#N/A</v>
      </c>
      <c r="E785" s="1" t="str">
        <f>Vlookup(C785,'Oil &amp; Gas Documents - Canada'!F:N,9,FALSE)</f>
        <v>#N/A</v>
      </c>
      <c r="F785" s="1" t="s">
        <v>2478</v>
      </c>
      <c r="G785" s="4" t="str">
        <f>HYPERLINK("http://nimonikapp.com/legislations/118522","http://nimonikapp.com/legislations/118522")</f>
        <v>http://nimonikapp.com/legislations/118522</v>
      </c>
      <c r="H785" s="1" t="s">
        <v>18</v>
      </c>
      <c r="I785" s="1" t="s">
        <v>2756</v>
      </c>
      <c r="J785" s="1" t="s">
        <v>2757</v>
      </c>
      <c r="K785" s="5">
        <v>44713.0</v>
      </c>
      <c r="L785" s="5">
        <v>44328.0</v>
      </c>
      <c r="M785" s="5">
        <v>44728.0</v>
      </c>
      <c r="N785" s="1" t="s">
        <v>2479</v>
      </c>
    </row>
    <row r="786" hidden="1">
      <c r="A786" s="1" t="s">
        <v>221</v>
      </c>
      <c r="B786" s="1" t="s">
        <v>25</v>
      </c>
      <c r="C786" s="1" t="s">
        <v>2747</v>
      </c>
      <c r="D786" s="1" t="str">
        <f>Vlookup(C786,'Oil &amp; Gas Documents - Canada'!F:M,2,FALSE)</f>
        <v>#N/A</v>
      </c>
      <c r="E786" s="1" t="str">
        <f>Vlookup(C786,'Oil &amp; Gas Documents - Canada'!F:N,9,FALSE)</f>
        <v>#N/A</v>
      </c>
      <c r="F786" s="1" t="s">
        <v>2748</v>
      </c>
      <c r="G786" s="4" t="str">
        <f>HYPERLINK("http://nimonikapp.com/legislations/10640","http://nimonikapp.com/legislations/10640")</f>
        <v>http://nimonikapp.com/legislations/10640</v>
      </c>
      <c r="H786" s="1" t="s">
        <v>18</v>
      </c>
      <c r="I786" s="1" t="s">
        <v>2756</v>
      </c>
      <c r="J786" s="1" t="s">
        <v>2757</v>
      </c>
      <c r="K786" s="5">
        <v>44713.0</v>
      </c>
      <c r="L786" s="5">
        <v>44328.0</v>
      </c>
      <c r="M786" s="5">
        <v>44728.0</v>
      </c>
      <c r="N786" s="1" t="s">
        <v>2751</v>
      </c>
    </row>
    <row r="787" hidden="1">
      <c r="A787" s="1" t="s">
        <v>221</v>
      </c>
      <c r="B787" s="1" t="s">
        <v>25</v>
      </c>
      <c r="C787" s="1" t="s">
        <v>2759</v>
      </c>
      <c r="D787" s="1" t="str">
        <f>Vlookup(C787,'Oil &amp; Gas Documents - Canada'!F:M,2,FALSE)</f>
        <v>#N/A</v>
      </c>
      <c r="E787" s="1" t="str">
        <f>Vlookup(C787,'Oil &amp; Gas Documents - Canada'!F:N,9,FALSE)</f>
        <v>#N/A</v>
      </c>
      <c r="F787" s="1" t="s">
        <v>2760</v>
      </c>
      <c r="G787" s="4" t="str">
        <f>HYPERLINK("http://nimonikapp.com/legislations/239","http://nimonikapp.com/legislations/239")</f>
        <v>http://nimonikapp.com/legislations/239</v>
      </c>
      <c r="H787" s="1" t="s">
        <v>18</v>
      </c>
      <c r="I787" s="1" t="s">
        <v>2756</v>
      </c>
      <c r="J787" s="1" t="s">
        <v>2757</v>
      </c>
      <c r="K787" s="5">
        <v>44713.0</v>
      </c>
      <c r="L787" s="5">
        <v>44328.0</v>
      </c>
      <c r="M787" s="5">
        <v>44728.0</v>
      </c>
      <c r="N787" s="1" t="s">
        <v>2761</v>
      </c>
    </row>
    <row r="788" hidden="1">
      <c r="A788" s="1" t="s">
        <v>221</v>
      </c>
      <c r="B788" s="1" t="s">
        <v>25</v>
      </c>
      <c r="C788" s="1" t="s">
        <v>2762</v>
      </c>
      <c r="D788" s="1" t="str">
        <f>Vlookup(C788,'Oil &amp; Gas Documents - Canada'!F:M,2,FALSE)</f>
        <v>#N/A</v>
      </c>
      <c r="E788" s="1" t="str">
        <f>Vlookup(C788,'Oil &amp; Gas Documents - Canada'!F:N,9,FALSE)</f>
        <v>#N/A</v>
      </c>
      <c r="F788" s="1" t="s">
        <v>2763</v>
      </c>
      <c r="G788" s="4" t="str">
        <f>HYPERLINK("http://nimonikapp.com/legislations/110760","http://nimonikapp.com/legislations/110760")</f>
        <v>http://nimonikapp.com/legislations/110760</v>
      </c>
      <c r="H788" s="1" t="s">
        <v>18</v>
      </c>
      <c r="I788" s="1" t="s">
        <v>2764</v>
      </c>
      <c r="J788" s="1" t="s">
        <v>2765</v>
      </c>
      <c r="K788" s="5">
        <v>44713.0</v>
      </c>
      <c r="L788" s="5">
        <v>44713.0</v>
      </c>
      <c r="M788" s="5">
        <v>44728.0</v>
      </c>
      <c r="N788" s="1" t="s">
        <v>2766</v>
      </c>
    </row>
    <row r="789" hidden="1">
      <c r="A789" s="1" t="s">
        <v>221</v>
      </c>
      <c r="B789" s="1" t="s">
        <v>25</v>
      </c>
      <c r="C789" s="1" t="s">
        <v>2747</v>
      </c>
      <c r="D789" s="1" t="str">
        <f>Vlookup(C789,'Oil &amp; Gas Documents - Canada'!F:M,2,FALSE)</f>
        <v>#N/A</v>
      </c>
      <c r="E789" s="1" t="str">
        <f>Vlookup(C789,'Oil &amp; Gas Documents - Canada'!F:N,9,FALSE)</f>
        <v>#N/A</v>
      </c>
      <c r="F789" s="1" t="s">
        <v>2748</v>
      </c>
      <c r="G789" s="4" t="str">
        <f>HYPERLINK("http://nimonikapp.com/legislations/10640","http://nimonikapp.com/legislations/10640")</f>
        <v>http://nimonikapp.com/legislations/10640</v>
      </c>
      <c r="H789" s="1" t="s">
        <v>18</v>
      </c>
      <c r="I789" s="1" t="s">
        <v>2764</v>
      </c>
      <c r="J789" s="1" t="s">
        <v>2765</v>
      </c>
      <c r="K789" s="5">
        <v>44713.0</v>
      </c>
      <c r="L789" s="5">
        <v>44713.0</v>
      </c>
      <c r="M789" s="5">
        <v>44728.0</v>
      </c>
      <c r="N789" s="1" t="s">
        <v>2751</v>
      </c>
    </row>
    <row r="790" hidden="1">
      <c r="A790" s="1" t="s">
        <v>221</v>
      </c>
      <c r="B790" s="1" t="s">
        <v>25</v>
      </c>
      <c r="C790" s="1" t="s">
        <v>2754</v>
      </c>
      <c r="D790" s="1" t="str">
        <f>Vlookup(C790,'Oil &amp; Gas Documents - Canada'!F:M,2,FALSE)</f>
        <v>#N/A</v>
      </c>
      <c r="E790" s="1" t="str">
        <f>Vlookup(C790,'Oil &amp; Gas Documents - Canada'!F:N,9,FALSE)</f>
        <v>#N/A</v>
      </c>
      <c r="F790" s="1" t="s">
        <v>2755</v>
      </c>
      <c r="G790" s="4" t="str">
        <f>HYPERLINK("http://nimonikapp.com/legislations/256","http://nimonikapp.com/legislations/256")</f>
        <v>http://nimonikapp.com/legislations/256</v>
      </c>
      <c r="H790" s="1" t="s">
        <v>18</v>
      </c>
      <c r="I790" s="1" t="s">
        <v>2767</v>
      </c>
      <c r="J790" s="1" t="s">
        <v>2768</v>
      </c>
      <c r="K790" s="5">
        <v>44713.0</v>
      </c>
      <c r="L790" s="5">
        <v>44713.0</v>
      </c>
      <c r="M790" s="5">
        <v>44728.0</v>
      </c>
      <c r="N790" s="1" t="s">
        <v>2758</v>
      </c>
    </row>
    <row r="791" hidden="1">
      <c r="A791" s="1" t="s">
        <v>221</v>
      </c>
      <c r="B791" s="1" t="s">
        <v>25</v>
      </c>
      <c r="C791" s="1" t="s">
        <v>2759</v>
      </c>
      <c r="D791" s="1" t="str">
        <f>Vlookup(C791,'Oil &amp; Gas Documents - Canada'!F:M,2,FALSE)</f>
        <v>#N/A</v>
      </c>
      <c r="E791" s="1" t="str">
        <f>Vlookup(C791,'Oil &amp; Gas Documents - Canada'!F:N,9,FALSE)</f>
        <v>#N/A</v>
      </c>
      <c r="F791" s="1" t="s">
        <v>2760</v>
      </c>
      <c r="G791" s="4" t="str">
        <f t="shared" ref="G791:G792" si="17">HYPERLINK("http://nimonikapp.com/legislations/239","http://nimonikapp.com/legislations/239")</f>
        <v>http://nimonikapp.com/legislations/239</v>
      </c>
      <c r="H791" s="1" t="s">
        <v>18</v>
      </c>
      <c r="I791" s="1" t="s">
        <v>2767</v>
      </c>
      <c r="J791" s="1" t="s">
        <v>2768</v>
      </c>
      <c r="K791" s="5">
        <v>44713.0</v>
      </c>
      <c r="L791" s="5">
        <v>44713.0</v>
      </c>
      <c r="M791" s="5">
        <v>44728.0</v>
      </c>
      <c r="N791" s="1" t="s">
        <v>2761</v>
      </c>
    </row>
    <row r="792" hidden="1">
      <c r="A792" s="1" t="s">
        <v>221</v>
      </c>
      <c r="B792" s="1" t="s">
        <v>25</v>
      </c>
      <c r="C792" s="1" t="s">
        <v>2759</v>
      </c>
      <c r="D792" s="1" t="str">
        <f>Vlookup(C792,'Oil &amp; Gas Documents - Canada'!F:M,2,FALSE)</f>
        <v>#N/A</v>
      </c>
      <c r="E792" s="1" t="str">
        <f>Vlookup(C792,'Oil &amp; Gas Documents - Canada'!F:N,9,FALSE)</f>
        <v>#N/A</v>
      </c>
      <c r="F792" s="1" t="s">
        <v>2760</v>
      </c>
      <c r="G792" s="4" t="str">
        <f t="shared" si="17"/>
        <v>http://nimonikapp.com/legislations/239</v>
      </c>
      <c r="H792" s="1" t="s">
        <v>18</v>
      </c>
      <c r="I792" s="1" t="s">
        <v>2769</v>
      </c>
      <c r="J792" s="1" t="s">
        <v>2770</v>
      </c>
      <c r="K792" s="5">
        <v>44713.0</v>
      </c>
      <c r="L792" s="5">
        <v>44713.0</v>
      </c>
      <c r="M792" s="5">
        <v>44728.0</v>
      </c>
      <c r="N792" s="1" t="s">
        <v>2761</v>
      </c>
    </row>
    <row r="793" hidden="1">
      <c r="A793" s="1" t="s">
        <v>202</v>
      </c>
      <c r="B793" s="1" t="s">
        <v>25</v>
      </c>
      <c r="C793" s="1" t="s">
        <v>2709</v>
      </c>
      <c r="D793" s="1" t="str">
        <f>Vlookup(C793,'Oil &amp; Gas Documents - Canada'!F:M,2,FALSE)</f>
        <v>#N/A</v>
      </c>
      <c r="E793" s="1" t="str">
        <f>Vlookup(C793,'Oil &amp; Gas Documents - Canada'!F:N,9,FALSE)</f>
        <v>#N/A</v>
      </c>
      <c r="F793" s="1" t="s">
        <v>1410</v>
      </c>
      <c r="G793" s="4" t="str">
        <f>HYPERLINK("http://nimonikapp.com/legislations/350584","http://nimonikapp.com/legislations/350584")</f>
        <v>http://nimonikapp.com/legislations/350584</v>
      </c>
      <c r="H793" s="1" t="s">
        <v>18</v>
      </c>
      <c r="I793" s="1" t="s">
        <v>2771</v>
      </c>
      <c r="J793" s="1" t="s">
        <v>2772</v>
      </c>
      <c r="K793" s="5">
        <v>44728.0</v>
      </c>
      <c r="L793" s="5">
        <v>44730.0</v>
      </c>
      <c r="M793" s="5">
        <v>44728.0</v>
      </c>
      <c r="N793" s="1" t="s">
        <v>2710</v>
      </c>
    </row>
    <row r="794" hidden="1">
      <c r="A794" s="1" t="s">
        <v>14</v>
      </c>
      <c r="B794" s="1" t="s">
        <v>25</v>
      </c>
      <c r="C794" s="1" t="s">
        <v>1769</v>
      </c>
      <c r="D794" s="1" t="str">
        <f>Vlookup(C794,'Oil &amp; Gas Documents - Canada'!F:M,2,FALSE)</f>
        <v>#N/A</v>
      </c>
      <c r="E794" s="1" t="str">
        <f>Vlookup(C794,'Oil &amp; Gas Documents - Canada'!F:N,9,FALSE)</f>
        <v>#N/A</v>
      </c>
      <c r="F794" s="1" t="s">
        <v>1770</v>
      </c>
      <c r="G794" s="4" t="str">
        <f t="shared" ref="G794:G795" si="18">HYPERLINK("http://nimonikapp.com/legislations/118475","http://nimonikapp.com/legislations/118475")</f>
        <v>http://nimonikapp.com/legislations/118475</v>
      </c>
      <c r="H794" s="1" t="s">
        <v>18</v>
      </c>
      <c r="I794" s="1" t="s">
        <v>2773</v>
      </c>
      <c r="J794" s="1" t="s">
        <v>2774</v>
      </c>
      <c r="K794" s="5">
        <v>44699.0</v>
      </c>
      <c r="M794" s="5">
        <v>44727.0</v>
      </c>
      <c r="N794" s="1" t="s">
        <v>1773</v>
      </c>
    </row>
    <row r="795" hidden="1">
      <c r="A795" s="1" t="s">
        <v>14</v>
      </c>
      <c r="B795" s="1" t="s">
        <v>25</v>
      </c>
      <c r="C795" s="1" t="s">
        <v>1769</v>
      </c>
      <c r="D795" s="1" t="str">
        <f>Vlookup(C795,'Oil &amp; Gas Documents - Canada'!F:M,2,FALSE)</f>
        <v>#N/A</v>
      </c>
      <c r="E795" s="1" t="str">
        <f>Vlookup(C795,'Oil &amp; Gas Documents - Canada'!F:N,9,FALSE)</f>
        <v>#N/A</v>
      </c>
      <c r="F795" s="1" t="s">
        <v>1770</v>
      </c>
      <c r="G795" s="4" t="str">
        <f t="shared" si="18"/>
        <v>http://nimonikapp.com/legislations/118475</v>
      </c>
      <c r="H795" s="1" t="s">
        <v>18</v>
      </c>
      <c r="I795" s="1" t="s">
        <v>2775</v>
      </c>
      <c r="J795" s="1" t="s">
        <v>2776</v>
      </c>
      <c r="K795" s="5">
        <v>44699.0</v>
      </c>
      <c r="L795" s="5">
        <v>44699.0</v>
      </c>
      <c r="M795" s="5">
        <v>44727.0</v>
      </c>
      <c r="N795" s="1" t="s">
        <v>1773</v>
      </c>
    </row>
    <row r="796" hidden="1">
      <c r="A796" s="1" t="s">
        <v>14</v>
      </c>
      <c r="B796" s="1" t="s">
        <v>25</v>
      </c>
      <c r="C796" s="1" t="s">
        <v>2742</v>
      </c>
      <c r="D796" s="1" t="str">
        <f>Vlookup(C796,'Oil &amp; Gas Documents - Canada'!F:M,2,FALSE)</f>
        <v>#N/A</v>
      </c>
      <c r="E796" s="1" t="str">
        <f>Vlookup(C796,'Oil &amp; Gas Documents - Canada'!F:N,9,FALSE)</f>
        <v>#N/A</v>
      </c>
      <c r="F796" s="1" t="s">
        <v>2743</v>
      </c>
      <c r="G796" s="4" t="str">
        <f>HYPERLINK("http://nimonikapp.com/legislations/125767","http://nimonikapp.com/legislations/125767")</f>
        <v>http://nimonikapp.com/legislations/125767</v>
      </c>
      <c r="H796" s="1" t="s">
        <v>18</v>
      </c>
      <c r="I796" s="1" t="s">
        <v>2777</v>
      </c>
      <c r="J796" s="1" t="s">
        <v>2778</v>
      </c>
      <c r="K796" s="5">
        <v>44699.0</v>
      </c>
      <c r="L796" s="5">
        <v>44699.0</v>
      </c>
      <c r="M796" s="5">
        <v>44727.0</v>
      </c>
      <c r="N796" s="1" t="s">
        <v>2746</v>
      </c>
    </row>
    <row r="797" hidden="1">
      <c r="A797" s="1" t="s">
        <v>14</v>
      </c>
      <c r="B797" s="1" t="s">
        <v>25</v>
      </c>
      <c r="C797" s="1" t="s">
        <v>1488</v>
      </c>
      <c r="D797" s="1" t="str">
        <f>Vlookup(C797,'Oil &amp; Gas Documents - Canada'!F:M,2,FALSE)</f>
        <v>#N/A</v>
      </c>
      <c r="E797" s="1" t="str">
        <f>Vlookup(C797,'Oil &amp; Gas Documents - Canada'!F:N,9,FALSE)</f>
        <v>#N/A</v>
      </c>
      <c r="F797" s="1" t="s">
        <v>1489</v>
      </c>
      <c r="G797" s="4" t="str">
        <f>HYPERLINK("http://nimonikapp.com/legislations/625","http://nimonikapp.com/legislations/625")</f>
        <v>http://nimonikapp.com/legislations/625</v>
      </c>
      <c r="H797" s="1" t="s">
        <v>18</v>
      </c>
      <c r="I797" s="1" t="s">
        <v>2779</v>
      </c>
      <c r="J797" s="1" t="s">
        <v>2780</v>
      </c>
      <c r="K797" s="5">
        <v>44699.0</v>
      </c>
      <c r="L797" s="5">
        <v>44699.0</v>
      </c>
      <c r="M797" s="5">
        <v>44727.0</v>
      </c>
      <c r="N797" s="1" t="s">
        <v>1487</v>
      </c>
    </row>
    <row r="798" hidden="1">
      <c r="A798" s="1" t="s">
        <v>14</v>
      </c>
      <c r="B798" s="1" t="s">
        <v>25</v>
      </c>
      <c r="C798" s="1" t="s">
        <v>2781</v>
      </c>
      <c r="D798" s="1" t="str">
        <f>Vlookup(C798,'Oil &amp; Gas Documents - Canada'!F:M,2,FALSE)</f>
        <v>#N/A</v>
      </c>
      <c r="E798" s="1" t="str">
        <f>Vlookup(C798,'Oil &amp; Gas Documents - Canada'!F:N,9,FALSE)</f>
        <v>#N/A</v>
      </c>
      <c r="F798" s="1" t="s">
        <v>2782</v>
      </c>
      <c r="G798" s="4" t="str">
        <f>HYPERLINK("http://nimonikapp.com/legislations/802","http://nimonikapp.com/legislations/802")</f>
        <v>http://nimonikapp.com/legislations/802</v>
      </c>
      <c r="H798" s="1" t="s">
        <v>18</v>
      </c>
      <c r="I798" s="1" t="s">
        <v>2779</v>
      </c>
      <c r="J798" s="1" t="s">
        <v>2780</v>
      </c>
      <c r="K798" s="5">
        <v>44699.0</v>
      </c>
      <c r="L798" s="5">
        <v>44699.0</v>
      </c>
      <c r="M798" s="5">
        <v>44727.0</v>
      </c>
      <c r="N798" s="1" t="s">
        <v>1487</v>
      </c>
    </row>
    <row r="799" hidden="1">
      <c r="A799" s="1" t="s">
        <v>14</v>
      </c>
      <c r="B799" s="1" t="s">
        <v>25</v>
      </c>
      <c r="C799" s="1" t="s">
        <v>1483</v>
      </c>
      <c r="D799" s="1" t="str">
        <f>Vlookup(C799,'Oil &amp; Gas Documents - Canada'!F:M,2,FALSE)</f>
        <v>#N/A</v>
      </c>
      <c r="E799" s="1" t="str">
        <f>Vlookup(C799,'Oil &amp; Gas Documents - Canada'!F:N,9,FALSE)</f>
        <v>#N/A</v>
      </c>
      <c r="F799" s="1" t="s">
        <v>1484</v>
      </c>
      <c r="G799" s="4" t="str">
        <f>HYPERLINK("http://nimonikapp.com/legislations/627","http://nimonikapp.com/legislations/627")</f>
        <v>http://nimonikapp.com/legislations/627</v>
      </c>
      <c r="H799" s="1" t="s">
        <v>18</v>
      </c>
      <c r="I799" s="1" t="s">
        <v>2779</v>
      </c>
      <c r="J799" s="1" t="s">
        <v>2780</v>
      </c>
      <c r="K799" s="5">
        <v>44699.0</v>
      </c>
      <c r="L799" s="5">
        <v>44699.0</v>
      </c>
      <c r="M799" s="5">
        <v>44727.0</v>
      </c>
      <c r="N799" s="1" t="s">
        <v>1487</v>
      </c>
    </row>
    <row r="800" hidden="1">
      <c r="A800" s="1" t="s">
        <v>14</v>
      </c>
      <c r="B800" s="1" t="s">
        <v>25</v>
      </c>
      <c r="C800" s="1" t="s">
        <v>2783</v>
      </c>
      <c r="D800" s="1" t="str">
        <f>Vlookup(C800,'Oil &amp; Gas Documents - Canada'!F:M,2,FALSE)</f>
        <v>#N/A</v>
      </c>
      <c r="E800" s="1" t="str">
        <f>Vlookup(C800,'Oil &amp; Gas Documents - Canada'!F:N,9,FALSE)</f>
        <v>#N/A</v>
      </c>
      <c r="F800" s="1" t="s">
        <v>2784</v>
      </c>
      <c r="G800" s="4" t="str">
        <f>HYPERLINK("http://nimonikapp.com/legislations/806","http://nimonikapp.com/legislations/806")</f>
        <v>http://nimonikapp.com/legislations/806</v>
      </c>
      <c r="H800" s="1" t="s">
        <v>18</v>
      </c>
      <c r="I800" s="1" t="s">
        <v>2779</v>
      </c>
      <c r="J800" s="1" t="s">
        <v>2780</v>
      </c>
      <c r="K800" s="5">
        <v>44699.0</v>
      </c>
      <c r="L800" s="5">
        <v>44699.0</v>
      </c>
      <c r="M800" s="5">
        <v>44727.0</v>
      </c>
      <c r="N800" s="1" t="s">
        <v>1487</v>
      </c>
    </row>
    <row r="801" hidden="1">
      <c r="A801" s="1" t="s">
        <v>14</v>
      </c>
      <c r="B801" s="1" t="s">
        <v>25</v>
      </c>
      <c r="C801" s="1" t="s">
        <v>2785</v>
      </c>
      <c r="D801" s="1" t="str">
        <f>Vlookup(C801,'Oil &amp; Gas Documents - Canada'!F:M,2,FALSE)</f>
        <v>#N/A</v>
      </c>
      <c r="E801" s="1" t="str">
        <f>Vlookup(C801,'Oil &amp; Gas Documents - Canada'!F:N,9,FALSE)</f>
        <v>#N/A</v>
      </c>
      <c r="F801" s="1" t="s">
        <v>2786</v>
      </c>
      <c r="G801" s="4" t="str">
        <f>HYPERLINK("http://nimonikapp.com/legislations/615","http://nimonikapp.com/legislations/615")</f>
        <v>http://nimonikapp.com/legislations/615</v>
      </c>
      <c r="H801" s="1" t="s">
        <v>18</v>
      </c>
      <c r="I801" s="1" t="s">
        <v>2779</v>
      </c>
      <c r="J801" s="1" t="s">
        <v>2780</v>
      </c>
      <c r="K801" s="5">
        <v>44699.0</v>
      </c>
      <c r="L801" s="5">
        <v>44699.0</v>
      </c>
      <c r="M801" s="5">
        <v>44727.0</v>
      </c>
      <c r="N801" s="1" t="s">
        <v>2787</v>
      </c>
    </row>
    <row r="802" hidden="1">
      <c r="A802" s="1" t="s">
        <v>486</v>
      </c>
      <c r="B802" s="1" t="s">
        <v>25</v>
      </c>
      <c r="C802" s="1" t="s">
        <v>2788</v>
      </c>
      <c r="D802" s="1" t="str">
        <f>Vlookup(C802,'Oil &amp; Gas Documents - Canada'!F:M,2,FALSE)</f>
        <v>#N/A</v>
      </c>
      <c r="E802" s="1" t="str">
        <f>Vlookup(C802,'Oil &amp; Gas Documents - Canada'!F:N,9,FALSE)</f>
        <v>#N/A</v>
      </c>
      <c r="F802" s="1" t="s">
        <v>2789</v>
      </c>
      <c r="G802" s="4" t="str">
        <f>HYPERLINK("http://nimonikapp.com/legislations/294462","http://nimonikapp.com/legislations/294462")</f>
        <v>http://nimonikapp.com/legislations/294462</v>
      </c>
      <c r="H802" s="1" t="s">
        <v>18</v>
      </c>
      <c r="I802" s="1" t="s">
        <v>2790</v>
      </c>
      <c r="J802" s="1" t="s">
        <v>2791</v>
      </c>
      <c r="K802" s="5">
        <v>44723.0</v>
      </c>
      <c r="L802" s="5">
        <v>44723.0</v>
      </c>
      <c r="M802" s="5">
        <v>44727.0</v>
      </c>
      <c r="N802" s="1" t="s">
        <v>2792</v>
      </c>
    </row>
    <row r="803" hidden="1">
      <c r="A803" s="1" t="s">
        <v>202</v>
      </c>
      <c r="B803" s="1" t="s">
        <v>25</v>
      </c>
      <c r="C803" s="1" t="s">
        <v>2492</v>
      </c>
      <c r="D803" s="1" t="str">
        <f>Vlookup(C803,'Oil &amp; Gas Documents - Canada'!F:M,2,FALSE)</f>
        <v>#N/A</v>
      </c>
      <c r="E803" s="1" t="str">
        <f>Vlookup(C803,'Oil &amp; Gas Documents - Canada'!F:N,9,FALSE)</f>
        <v>#N/A</v>
      </c>
      <c r="F803" s="1" t="s">
        <v>2493</v>
      </c>
      <c r="G803" s="4" t="str">
        <f>HYPERLINK("http://nimonikapp.com/legislations/945","http://nimonikapp.com/legislations/945")</f>
        <v>http://nimonikapp.com/legislations/945</v>
      </c>
      <c r="H803" s="1" t="s">
        <v>18</v>
      </c>
      <c r="I803" s="1" t="s">
        <v>2793</v>
      </c>
      <c r="J803" s="1" t="s">
        <v>2794</v>
      </c>
      <c r="K803" s="5">
        <v>44727.0</v>
      </c>
      <c r="L803" s="5">
        <v>44742.0</v>
      </c>
      <c r="M803" s="5">
        <v>44727.0</v>
      </c>
      <c r="N803" s="1" t="s">
        <v>2496</v>
      </c>
    </row>
    <row r="804" hidden="1">
      <c r="A804" s="1" t="s">
        <v>21</v>
      </c>
      <c r="B804" s="1" t="s">
        <v>25</v>
      </c>
      <c r="C804" s="1" t="s">
        <v>2795</v>
      </c>
      <c r="D804" s="1" t="str">
        <f>Vlookup(C804,'Oil &amp; Gas Documents - Canada'!F:M,2,FALSE)</f>
        <v>#N/A</v>
      </c>
      <c r="E804" s="1" t="str">
        <f>Vlookup(C804,'Oil &amp; Gas Documents - Canada'!F:N,9,FALSE)</f>
        <v>#N/A</v>
      </c>
      <c r="F804" s="1" t="s">
        <v>2796</v>
      </c>
      <c r="G804" s="4" t="str">
        <f>HYPERLINK("http://nimonikapp.com/legislations/7009","http://nimonikapp.com/legislations/7009")</f>
        <v>http://nimonikapp.com/legislations/7009</v>
      </c>
      <c r="H804" s="1" t="s">
        <v>18</v>
      </c>
      <c r="I804" s="1" t="s">
        <v>2797</v>
      </c>
      <c r="J804" s="1" t="s">
        <v>2798</v>
      </c>
      <c r="K804" s="5">
        <v>44727.0</v>
      </c>
      <c r="L804" s="5">
        <v>44706.0</v>
      </c>
      <c r="M804" s="5">
        <v>44727.0</v>
      </c>
      <c r="N804" s="1" t="s">
        <v>2799</v>
      </c>
    </row>
    <row r="805" hidden="1">
      <c r="A805" s="1" t="s">
        <v>21</v>
      </c>
      <c r="B805" s="1" t="s">
        <v>25</v>
      </c>
      <c r="C805" s="1" t="s">
        <v>2800</v>
      </c>
      <c r="D805" s="1" t="str">
        <f>Vlookup(C805,'Oil &amp; Gas Documents - Canada'!F:M,2,FALSE)</f>
        <v>#N/A</v>
      </c>
      <c r="E805" s="1" t="str">
        <f>Vlookup(C805,'Oil &amp; Gas Documents - Canada'!F:N,9,FALSE)</f>
        <v>#N/A</v>
      </c>
      <c r="F805" s="1" t="s">
        <v>1131</v>
      </c>
      <c r="G805" s="4" t="str">
        <f>HYPERLINK("http://nimonikapp.com/legislations/10311","http://nimonikapp.com/legislations/10311")</f>
        <v>http://nimonikapp.com/legislations/10311</v>
      </c>
      <c r="H805" s="1" t="s">
        <v>18</v>
      </c>
      <c r="I805" s="1" t="s">
        <v>2801</v>
      </c>
      <c r="J805" s="1" t="s">
        <v>2802</v>
      </c>
      <c r="K805" s="5">
        <v>44727.0</v>
      </c>
      <c r="M805" s="5">
        <v>44727.0</v>
      </c>
      <c r="N805" s="1" t="s">
        <v>2803</v>
      </c>
    </row>
    <row r="806" hidden="1">
      <c r="A806" s="1" t="s">
        <v>21</v>
      </c>
      <c r="B806" s="1" t="s">
        <v>25</v>
      </c>
      <c r="C806" s="1" t="s">
        <v>2280</v>
      </c>
      <c r="D806" s="1" t="str">
        <f>Vlookup(C806,'Oil &amp; Gas Documents - Canada'!F:M,2,FALSE)</f>
        <v>#N/A</v>
      </c>
      <c r="E806" s="1" t="str">
        <f>Vlookup(C806,'Oil &amp; Gas Documents - Canada'!F:N,9,FALSE)</f>
        <v>#N/A</v>
      </c>
      <c r="F806" s="1" t="s">
        <v>2281</v>
      </c>
      <c r="G806" s="4" t="str">
        <f>HYPERLINK("http://nimonikapp.com/legislations/1151","http://nimonikapp.com/legislations/1151")</f>
        <v>http://nimonikapp.com/legislations/1151</v>
      </c>
      <c r="H806" s="1" t="s">
        <v>18</v>
      </c>
      <c r="I806" s="1" t="s">
        <v>2804</v>
      </c>
      <c r="J806" s="1" t="s">
        <v>2805</v>
      </c>
      <c r="K806" s="5">
        <v>44727.0</v>
      </c>
      <c r="L806" s="5">
        <v>44713.0</v>
      </c>
      <c r="M806" s="5">
        <v>44727.0</v>
      </c>
      <c r="N806" s="1" t="s">
        <v>2284</v>
      </c>
    </row>
    <row r="807" hidden="1">
      <c r="A807" s="1" t="s">
        <v>21</v>
      </c>
      <c r="B807" s="1" t="s">
        <v>364</v>
      </c>
      <c r="C807" s="1" t="s">
        <v>2806</v>
      </c>
      <c r="D807" s="1" t="str">
        <f>Vlookup(C807,'Oil &amp; Gas Documents - Canada'!F:M,2,FALSE)</f>
        <v>#N/A</v>
      </c>
      <c r="E807" s="1" t="str">
        <f>Vlookup(C807,'Oil &amp; Gas Documents - Canada'!F:N,9,FALSE)</f>
        <v>#N/A</v>
      </c>
      <c r="F807" s="1" t="s">
        <v>2807</v>
      </c>
      <c r="G807" s="4" t="str">
        <f>HYPERLINK("http://nimonikapp.com/legislations/122999","http://nimonikapp.com/legislations/122999")</f>
        <v>http://nimonikapp.com/legislations/122999</v>
      </c>
      <c r="H807" s="1" t="s">
        <v>356</v>
      </c>
      <c r="I807" s="1" t="s">
        <v>1307</v>
      </c>
      <c r="J807" s="1" t="s">
        <v>1308</v>
      </c>
      <c r="K807" s="5">
        <v>44727.0</v>
      </c>
      <c r="L807" s="5">
        <v>44713.0</v>
      </c>
      <c r="M807" s="5">
        <v>44727.0</v>
      </c>
      <c r="N807" s="1" t="s">
        <v>2808</v>
      </c>
    </row>
    <row r="808" hidden="1">
      <c r="A808" s="1" t="s">
        <v>557</v>
      </c>
      <c r="B808" s="1" t="s">
        <v>15</v>
      </c>
      <c r="C808" s="1" t="s">
        <v>2809</v>
      </c>
      <c r="D808" s="1" t="str">
        <f>Vlookup(C808,'Oil &amp; Gas Documents - Canada'!F:M,2,FALSE)</f>
        <v>#N/A</v>
      </c>
      <c r="E808" s="1" t="str">
        <f>Vlookup(C808,'Oil &amp; Gas Documents - Canada'!F:N,9,FALSE)</f>
        <v>#N/A</v>
      </c>
      <c r="F808" s="1" t="s">
        <v>2810</v>
      </c>
      <c r="G808" s="4" t="str">
        <f>HYPERLINK("http://nimonikapp.com/legislations/353007","http://nimonikapp.com/legislations/353007")</f>
        <v>http://nimonikapp.com/legislations/353007</v>
      </c>
      <c r="H808" s="1" t="s">
        <v>516</v>
      </c>
      <c r="K808" s="5">
        <v>44707.0</v>
      </c>
      <c r="M808" s="5">
        <v>44726.0</v>
      </c>
    </row>
    <row r="809" hidden="1">
      <c r="A809" s="1" t="s">
        <v>21</v>
      </c>
      <c r="B809" s="1" t="s">
        <v>25</v>
      </c>
      <c r="C809" s="1" t="s">
        <v>2811</v>
      </c>
      <c r="D809" s="1" t="str">
        <f>Vlookup(C809,'Oil &amp; Gas Documents - Canada'!F:M,2,FALSE)</f>
        <v>#N/A</v>
      </c>
      <c r="E809" s="1" t="str">
        <f>Vlookup(C809,'Oil &amp; Gas Documents - Canada'!F:N,9,FALSE)</f>
        <v>#N/A</v>
      </c>
      <c r="F809" s="1" t="s">
        <v>2812</v>
      </c>
      <c r="G809" s="4" t="str">
        <f>HYPERLINK("http://nimonikapp.com/legislations/6419","http://nimonikapp.com/legislations/6419")</f>
        <v>http://nimonikapp.com/legislations/6419</v>
      </c>
      <c r="H809" s="1" t="s">
        <v>18</v>
      </c>
      <c r="I809" s="1" t="s">
        <v>2813</v>
      </c>
      <c r="J809" s="1" t="s">
        <v>2814</v>
      </c>
      <c r="K809" s="5">
        <v>44712.0</v>
      </c>
      <c r="M809" s="5">
        <v>44726.0</v>
      </c>
      <c r="N809" s="1" t="s">
        <v>2815</v>
      </c>
    </row>
    <row r="810" hidden="1">
      <c r="A810" s="1" t="s">
        <v>21</v>
      </c>
      <c r="B810" s="1" t="s">
        <v>25</v>
      </c>
      <c r="C810" s="1" t="s">
        <v>2816</v>
      </c>
      <c r="D810" s="1" t="str">
        <f>Vlookup(C810,'Oil &amp; Gas Documents - Canada'!F:M,2,FALSE)</f>
        <v>#N/A</v>
      </c>
      <c r="E810" s="1" t="str">
        <f>Vlookup(C810,'Oil &amp; Gas Documents - Canada'!F:N,9,FALSE)</f>
        <v>#N/A</v>
      </c>
      <c r="F810" s="1" t="s">
        <v>2817</v>
      </c>
      <c r="G810" s="4" t="str">
        <f>HYPERLINK("http://nimonikapp.com/legislations/10314","http://nimonikapp.com/legislations/10314")</f>
        <v>http://nimonikapp.com/legislations/10314</v>
      </c>
      <c r="H810" s="1" t="s">
        <v>18</v>
      </c>
      <c r="I810" s="1" t="s">
        <v>2813</v>
      </c>
      <c r="J810" s="1" t="s">
        <v>2814</v>
      </c>
      <c r="K810" s="5">
        <v>44712.0</v>
      </c>
      <c r="M810" s="5">
        <v>44726.0</v>
      </c>
      <c r="N810" s="1" t="s">
        <v>2818</v>
      </c>
    </row>
    <row r="811" hidden="1">
      <c r="A811" s="1" t="s">
        <v>21</v>
      </c>
      <c r="B811" s="1" t="s">
        <v>25</v>
      </c>
      <c r="C811" s="1" t="s">
        <v>2819</v>
      </c>
      <c r="D811" s="1" t="str">
        <f>Vlookup(C811,'Oil &amp; Gas Documents - Canada'!F:M,2,FALSE)</f>
        <v>#N/A</v>
      </c>
      <c r="E811" s="1" t="str">
        <f>Vlookup(C811,'Oil &amp; Gas Documents - Canada'!F:N,9,FALSE)</f>
        <v>#N/A</v>
      </c>
      <c r="F811" s="1" t="s">
        <v>821</v>
      </c>
      <c r="G811" s="4" t="str">
        <f>HYPERLINK("http://nimonikapp.com/legislations/6353","http://nimonikapp.com/legislations/6353")</f>
        <v>http://nimonikapp.com/legislations/6353</v>
      </c>
      <c r="H811" s="1" t="s">
        <v>18</v>
      </c>
      <c r="I811" s="1" t="s">
        <v>2813</v>
      </c>
      <c r="J811" s="1" t="s">
        <v>2814</v>
      </c>
      <c r="K811" s="5">
        <v>44712.0</v>
      </c>
      <c r="M811" s="5">
        <v>44726.0</v>
      </c>
      <c r="N811" s="1" t="s">
        <v>2820</v>
      </c>
    </row>
    <row r="812" hidden="1">
      <c r="A812" s="1" t="s">
        <v>21</v>
      </c>
      <c r="B812" s="1" t="s">
        <v>25</v>
      </c>
      <c r="C812" s="1" t="s">
        <v>2821</v>
      </c>
      <c r="D812" s="1" t="str">
        <f>Vlookup(C812,'Oil &amp; Gas Documents - Canada'!F:M,2,FALSE)</f>
        <v>#N/A</v>
      </c>
      <c r="E812" s="1" t="str">
        <f>Vlookup(C812,'Oil &amp; Gas Documents - Canada'!F:N,9,FALSE)</f>
        <v>#N/A</v>
      </c>
      <c r="F812" s="1" t="s">
        <v>2822</v>
      </c>
      <c r="G812" s="4" t="str">
        <f>HYPERLINK("http://nimonikapp.com/legislations/4077","http://nimonikapp.com/legislations/4077")</f>
        <v>http://nimonikapp.com/legislations/4077</v>
      </c>
      <c r="H812" s="1" t="s">
        <v>18</v>
      </c>
      <c r="I812" s="1" t="s">
        <v>2813</v>
      </c>
      <c r="J812" s="1" t="s">
        <v>2814</v>
      </c>
      <c r="K812" s="5">
        <v>44712.0</v>
      </c>
      <c r="M812" s="5">
        <v>44726.0</v>
      </c>
      <c r="N812" s="1" t="s">
        <v>2823</v>
      </c>
    </row>
    <row r="813" hidden="1">
      <c r="A813" s="1" t="s">
        <v>21</v>
      </c>
      <c r="B813" s="1" t="s">
        <v>25</v>
      </c>
      <c r="C813" s="1" t="s">
        <v>2304</v>
      </c>
      <c r="D813" s="1" t="str">
        <f>Vlookup(C813,'Oil &amp; Gas Documents - Canada'!F:M,2,FALSE)</f>
        <v>#N/A</v>
      </c>
      <c r="E813" s="1" t="str">
        <f>Vlookup(C813,'Oil &amp; Gas Documents - Canada'!F:N,9,FALSE)</f>
        <v>#N/A</v>
      </c>
      <c r="F813" s="1" t="s">
        <v>827</v>
      </c>
      <c r="G813" s="4" t="str">
        <f>HYPERLINK("http://nimonikapp.com/legislations/10617","http://nimonikapp.com/legislations/10617")</f>
        <v>http://nimonikapp.com/legislations/10617</v>
      </c>
      <c r="H813" s="1" t="s">
        <v>18</v>
      </c>
      <c r="I813" s="1" t="s">
        <v>2813</v>
      </c>
      <c r="J813" s="1" t="s">
        <v>2814</v>
      </c>
      <c r="K813" s="5">
        <v>44712.0</v>
      </c>
      <c r="M813" s="5">
        <v>44726.0</v>
      </c>
      <c r="N813" s="1" t="s">
        <v>2307</v>
      </c>
    </row>
    <row r="814" hidden="1">
      <c r="A814" s="1" t="s">
        <v>99</v>
      </c>
      <c r="B814" s="1" t="s">
        <v>25</v>
      </c>
      <c r="C814" s="1" t="s">
        <v>1968</v>
      </c>
      <c r="D814" s="1" t="str">
        <f>Vlookup(C814,'Oil &amp; Gas Documents - Canada'!F:M,2,FALSE)</f>
        <v>#N/A</v>
      </c>
      <c r="E814" s="1" t="str">
        <f>Vlookup(C814,'Oil &amp; Gas Documents - Canada'!F:N,9,FALSE)</f>
        <v>#N/A</v>
      </c>
      <c r="F814" s="1" t="s">
        <v>1969</v>
      </c>
      <c r="G814" s="4" t="str">
        <f>HYPERLINK("http://nimonikapp.com/legislations/7166","http://nimonikapp.com/legislations/7166")</f>
        <v>http://nimonikapp.com/legislations/7166</v>
      </c>
      <c r="H814" s="1" t="s">
        <v>18</v>
      </c>
      <c r="I814" s="1" t="s">
        <v>2824</v>
      </c>
      <c r="J814" s="1" t="s">
        <v>2825</v>
      </c>
      <c r="K814" s="5">
        <v>44713.0</v>
      </c>
      <c r="L814" s="5">
        <v>44774.0</v>
      </c>
      <c r="M814" s="5">
        <v>44726.0</v>
      </c>
    </row>
    <row r="815" hidden="1">
      <c r="A815" s="1" t="s">
        <v>99</v>
      </c>
      <c r="B815" s="1" t="s">
        <v>25</v>
      </c>
      <c r="C815" s="1" t="s">
        <v>1331</v>
      </c>
      <c r="D815" s="1" t="str">
        <f>Vlookup(C815,'Oil &amp; Gas Documents - Canada'!F:M,2,FALSE)</f>
        <v>#N/A</v>
      </c>
      <c r="E815" s="1" t="str">
        <f>Vlookup(C815,'Oil &amp; Gas Documents - Canada'!F:N,9,FALSE)</f>
        <v>#N/A</v>
      </c>
      <c r="F815" s="1" t="s">
        <v>1332</v>
      </c>
      <c r="G815" s="4" t="str">
        <f>HYPERLINK("http://nimonikapp.com/legislations/115157","http://nimonikapp.com/legislations/115157")</f>
        <v>http://nimonikapp.com/legislations/115157</v>
      </c>
      <c r="H815" s="1" t="s">
        <v>18</v>
      </c>
      <c r="I815" s="1" t="s">
        <v>2826</v>
      </c>
      <c r="J815" s="1" t="s">
        <v>2827</v>
      </c>
      <c r="K815" s="5">
        <v>44713.0</v>
      </c>
      <c r="L815" s="5">
        <v>44714.0</v>
      </c>
      <c r="M815" s="5">
        <v>44726.0</v>
      </c>
      <c r="N815" s="1" t="s">
        <v>1335</v>
      </c>
    </row>
    <row r="816" hidden="1">
      <c r="A816" s="1" t="s">
        <v>21</v>
      </c>
      <c r="B816" s="1" t="s">
        <v>25</v>
      </c>
      <c r="C816" s="1" t="s">
        <v>2828</v>
      </c>
      <c r="D816" s="1" t="str">
        <f>Vlookup(C816,'Oil &amp; Gas Documents - Canada'!F:M,2,FALSE)</f>
        <v>#N/A</v>
      </c>
      <c r="E816" s="1" t="str">
        <f>Vlookup(C816,'Oil &amp; Gas Documents - Canada'!F:N,9,FALSE)</f>
        <v>#N/A</v>
      </c>
      <c r="F816" s="1" t="s">
        <v>2829</v>
      </c>
      <c r="G816" s="4" t="str">
        <f>HYPERLINK("http://nimonikapp.com/legislations/10666","http://nimonikapp.com/legislations/10666")</f>
        <v>http://nimonikapp.com/legislations/10666</v>
      </c>
      <c r="H816" s="1" t="s">
        <v>18</v>
      </c>
      <c r="I816" s="1" t="s">
        <v>415</v>
      </c>
      <c r="J816" s="1" t="s">
        <v>416</v>
      </c>
      <c r="K816" s="5">
        <v>44712.0</v>
      </c>
      <c r="L816" s="5">
        <v>44712.0</v>
      </c>
      <c r="M816" s="5">
        <v>44726.0</v>
      </c>
      <c r="N816" s="1" t="s">
        <v>2830</v>
      </c>
    </row>
    <row r="817">
      <c r="A817" s="1" t="s">
        <v>21</v>
      </c>
      <c r="B817" s="1" t="s">
        <v>25</v>
      </c>
      <c r="C817" s="1" t="s">
        <v>413</v>
      </c>
      <c r="D817" s="1" t="str">
        <f>Vlookup(C817,'Oil &amp; Gas Documents - Canada'!F:M,2,FALSE)</f>
        <v>oil_and_gas, utilities_and_communications</v>
      </c>
      <c r="E817" s="1" t="str">
        <f>Vlookup(C817,'Oil &amp; Gas Documents - Canada'!F:N,9,FALSE)</f>
        <v/>
      </c>
      <c r="F817" s="1" t="s">
        <v>412</v>
      </c>
      <c r="G817" s="4" t="str">
        <f>HYPERLINK("http://nimonikapp.com/legislations/4034","http://nimonikapp.com/legislations/4034")</f>
        <v>http://nimonikapp.com/legislations/4034</v>
      </c>
      <c r="H817" s="1" t="s">
        <v>18</v>
      </c>
      <c r="I817" s="1" t="s">
        <v>415</v>
      </c>
      <c r="J817" s="1" t="s">
        <v>416</v>
      </c>
      <c r="K817" s="5">
        <v>44712.0</v>
      </c>
      <c r="L817" s="5">
        <v>44712.0</v>
      </c>
      <c r="M817" s="5">
        <v>44726.0</v>
      </c>
      <c r="N817" s="1" t="s">
        <v>414</v>
      </c>
    </row>
    <row r="818" hidden="1">
      <c r="A818" s="1" t="s">
        <v>99</v>
      </c>
      <c r="B818" s="1" t="s">
        <v>25</v>
      </c>
      <c r="C818" s="1" t="s">
        <v>1206</v>
      </c>
      <c r="D818" s="1" t="str">
        <f>Vlookup(C818,'Oil &amp; Gas Documents - Canada'!F:M,2,FALSE)</f>
        <v>#N/A</v>
      </c>
      <c r="E818" s="1" t="str">
        <f>Vlookup(C818,'Oil &amp; Gas Documents - Canada'!F:N,9,FALSE)</f>
        <v>#N/A</v>
      </c>
      <c r="F818" s="1" t="s">
        <v>1207</v>
      </c>
      <c r="G818" s="4" t="str">
        <f>HYPERLINK("http://nimonikapp.com/legislations/4227","http://nimonikapp.com/legislations/4227")</f>
        <v>http://nimonikapp.com/legislations/4227</v>
      </c>
      <c r="H818" s="1" t="s">
        <v>18</v>
      </c>
      <c r="I818" s="1" t="s">
        <v>2831</v>
      </c>
      <c r="J818" s="1" t="s">
        <v>2832</v>
      </c>
      <c r="K818" s="5">
        <v>44713.0</v>
      </c>
      <c r="M818" s="5">
        <v>44726.0</v>
      </c>
      <c r="N818" s="1" t="s">
        <v>1208</v>
      </c>
    </row>
    <row r="819" hidden="1">
      <c r="A819" s="1" t="s">
        <v>99</v>
      </c>
      <c r="B819" s="1" t="s">
        <v>25</v>
      </c>
      <c r="C819" s="1" t="s">
        <v>1331</v>
      </c>
      <c r="D819" s="1" t="str">
        <f>Vlookup(C819,'Oil &amp; Gas Documents - Canada'!F:M,2,FALSE)</f>
        <v>#N/A</v>
      </c>
      <c r="E819" s="1" t="str">
        <f>Vlookup(C819,'Oil &amp; Gas Documents - Canada'!F:N,9,FALSE)</f>
        <v>#N/A</v>
      </c>
      <c r="F819" s="1" t="s">
        <v>1332</v>
      </c>
      <c r="G819" s="4" t="str">
        <f>HYPERLINK("http://nimonikapp.com/legislations/115157","http://nimonikapp.com/legislations/115157")</f>
        <v>http://nimonikapp.com/legislations/115157</v>
      </c>
      <c r="H819" s="1" t="s">
        <v>18</v>
      </c>
      <c r="I819" s="1" t="s">
        <v>2833</v>
      </c>
      <c r="J819" s="1" t="s">
        <v>2834</v>
      </c>
      <c r="K819" s="5">
        <v>44713.0</v>
      </c>
      <c r="L819" s="5">
        <v>44682.0</v>
      </c>
      <c r="M819" s="5">
        <v>44726.0</v>
      </c>
      <c r="N819" s="1" t="s">
        <v>1335</v>
      </c>
    </row>
    <row r="820" hidden="1">
      <c r="A820" s="1" t="s">
        <v>99</v>
      </c>
      <c r="B820" s="1" t="s">
        <v>25</v>
      </c>
      <c r="C820" s="1" t="s">
        <v>2835</v>
      </c>
      <c r="D820" s="1" t="str">
        <f>Vlookup(C820,'Oil &amp; Gas Documents - Canada'!F:M,2,FALSE)</f>
        <v>#N/A</v>
      </c>
      <c r="E820" s="1" t="str">
        <f>Vlookup(C820,'Oil &amp; Gas Documents - Canada'!F:N,9,FALSE)</f>
        <v>#N/A</v>
      </c>
      <c r="F820" s="1" t="s">
        <v>2836</v>
      </c>
      <c r="G820" s="4" t="str">
        <f>HYPERLINK("http://nimonikapp.com/legislations/307","http://nimonikapp.com/legislations/307")</f>
        <v>http://nimonikapp.com/legislations/307</v>
      </c>
      <c r="H820" s="1" t="s">
        <v>18</v>
      </c>
      <c r="I820" s="1" t="s">
        <v>2837</v>
      </c>
      <c r="J820" s="1" t="s">
        <v>2838</v>
      </c>
      <c r="K820" s="5">
        <v>44713.0</v>
      </c>
      <c r="L820" s="5">
        <v>44713.0</v>
      </c>
      <c r="M820" s="5">
        <v>44726.0</v>
      </c>
      <c r="N820" s="1" t="s">
        <v>2839</v>
      </c>
    </row>
    <row r="821" hidden="1">
      <c r="A821" s="1" t="s">
        <v>24</v>
      </c>
      <c r="B821" s="1" t="s">
        <v>25</v>
      </c>
      <c r="C821" s="1" t="s">
        <v>2840</v>
      </c>
      <c r="D821" s="1" t="str">
        <f>Vlookup(C821,'Oil &amp; Gas Documents - Canada'!F:M,2,FALSE)</f>
        <v>#N/A</v>
      </c>
      <c r="E821" s="1" t="str">
        <f>Vlookup(C821,'Oil &amp; Gas Documents - Canada'!F:N,9,FALSE)</f>
        <v>#N/A</v>
      </c>
      <c r="F821" s="1" t="s">
        <v>2841</v>
      </c>
      <c r="G821" s="4" t="str">
        <f>HYPERLINK("http://nimonikapp.com/legislations/94","http://nimonikapp.com/legislations/94")</f>
        <v>http://nimonikapp.com/legislations/94</v>
      </c>
      <c r="H821" s="1" t="s">
        <v>18</v>
      </c>
      <c r="I821" s="1" t="s">
        <v>2842</v>
      </c>
      <c r="J821" s="1" t="s">
        <v>2843</v>
      </c>
      <c r="K821" s="5">
        <v>44719.0</v>
      </c>
      <c r="M821" s="5">
        <v>44726.0</v>
      </c>
      <c r="N821" s="1" t="s">
        <v>2844</v>
      </c>
    </row>
    <row r="822">
      <c r="A822" s="1" t="s">
        <v>24</v>
      </c>
      <c r="B822" s="1" t="s">
        <v>25</v>
      </c>
      <c r="C822" s="1" t="s">
        <v>49</v>
      </c>
      <c r="D822" s="1" t="s">
        <v>26</v>
      </c>
      <c r="E822" s="1" t="str">
        <f>Vlookup(C822,'Oil &amp; Gas Documents - Canada'!F:N,9,FALSE)</f>
        <v>#N/A</v>
      </c>
      <c r="F822" s="1" t="s">
        <v>48</v>
      </c>
      <c r="G822" s="4" t="str">
        <f>HYPERLINK("http://nimonikapp.com/legislations/51","http://nimonikapp.com/legislations/51")</f>
        <v>http://nimonikapp.com/legislations/51</v>
      </c>
      <c r="H822" s="1" t="s">
        <v>18</v>
      </c>
      <c r="I822" s="1" t="s">
        <v>417</v>
      </c>
      <c r="J822" s="1" t="s">
        <v>418</v>
      </c>
      <c r="K822" s="5">
        <v>44719.0</v>
      </c>
      <c r="L822" s="5">
        <v>44986.0</v>
      </c>
      <c r="M822" s="5">
        <v>44726.0</v>
      </c>
      <c r="N822" s="1" t="s">
        <v>29</v>
      </c>
    </row>
    <row r="823">
      <c r="A823" s="1" t="s">
        <v>24</v>
      </c>
      <c r="B823" s="1" t="s">
        <v>25</v>
      </c>
      <c r="C823" s="1" t="s">
        <v>420</v>
      </c>
      <c r="D823" s="1" t="s">
        <v>26</v>
      </c>
      <c r="E823" s="1" t="str">
        <f>Vlookup(C823,'Oil &amp; Gas Documents - Canada'!F:N,9,FALSE)</f>
        <v>#N/A</v>
      </c>
      <c r="F823" s="1" t="s">
        <v>419</v>
      </c>
      <c r="G823" s="4" t="str">
        <f>HYPERLINK("http://nimonikapp.com/legislations/1110","http://nimonikapp.com/legislations/1110")</f>
        <v>http://nimonikapp.com/legislations/1110</v>
      </c>
      <c r="H823" s="1" t="s">
        <v>18</v>
      </c>
      <c r="I823" s="1" t="s">
        <v>417</v>
      </c>
      <c r="J823" s="1" t="s">
        <v>418</v>
      </c>
      <c r="K823" s="5">
        <v>44719.0</v>
      </c>
      <c r="L823" s="5">
        <v>44986.0</v>
      </c>
      <c r="M823" s="5">
        <v>44726.0</v>
      </c>
      <c r="N823" s="1" t="s">
        <v>421</v>
      </c>
    </row>
    <row r="824" hidden="1">
      <c r="A824" s="1" t="s">
        <v>24</v>
      </c>
      <c r="B824" s="1" t="s">
        <v>25</v>
      </c>
      <c r="C824" s="1" t="s">
        <v>2845</v>
      </c>
      <c r="D824" s="1" t="str">
        <f>Vlookup(C824,'Oil &amp; Gas Documents - Canada'!F:M,2,FALSE)</f>
        <v>#N/A</v>
      </c>
      <c r="E824" s="1" t="str">
        <f>Vlookup(C824,'Oil &amp; Gas Documents - Canada'!F:N,9,FALSE)</f>
        <v>#N/A</v>
      </c>
      <c r="F824" s="1" t="s">
        <v>2846</v>
      </c>
      <c r="G824" s="4" t="str">
        <f>HYPERLINK("http://nimonikapp.com/legislations/1119","http://nimonikapp.com/legislations/1119")</f>
        <v>http://nimonikapp.com/legislations/1119</v>
      </c>
      <c r="H824" s="1" t="s">
        <v>18</v>
      </c>
      <c r="I824" s="1" t="s">
        <v>417</v>
      </c>
      <c r="J824" s="1" t="s">
        <v>418</v>
      </c>
      <c r="K824" s="5">
        <v>44719.0</v>
      </c>
      <c r="L824" s="5">
        <v>44986.0</v>
      </c>
      <c r="M824" s="5">
        <v>44726.0</v>
      </c>
      <c r="N824" s="1" t="s">
        <v>2847</v>
      </c>
    </row>
    <row r="825">
      <c r="A825" s="1" t="s">
        <v>24</v>
      </c>
      <c r="B825" s="1" t="s">
        <v>25</v>
      </c>
      <c r="C825" s="1" t="s">
        <v>420</v>
      </c>
      <c r="D825" s="1" t="s">
        <v>26</v>
      </c>
      <c r="E825" s="1" t="str">
        <f>Vlookup(C825,'Oil &amp; Gas Documents - Canada'!F:N,9,FALSE)</f>
        <v>#N/A</v>
      </c>
      <c r="F825" s="1" t="s">
        <v>419</v>
      </c>
      <c r="G825" s="4" t="str">
        <f>HYPERLINK("http://nimonikapp.com/legislations/1110","http://nimonikapp.com/legislations/1110")</f>
        <v>http://nimonikapp.com/legislations/1110</v>
      </c>
      <c r="H825" s="1" t="s">
        <v>18</v>
      </c>
      <c r="I825" s="1" t="s">
        <v>422</v>
      </c>
      <c r="J825" s="1" t="s">
        <v>423</v>
      </c>
      <c r="K825" s="5">
        <v>44719.0</v>
      </c>
      <c r="L825" s="5">
        <v>44986.0</v>
      </c>
      <c r="M825" s="5">
        <v>44726.0</v>
      </c>
      <c r="N825" s="1" t="s">
        <v>421</v>
      </c>
    </row>
    <row r="826" hidden="1">
      <c r="A826" s="1" t="s">
        <v>202</v>
      </c>
      <c r="B826" s="1" t="s">
        <v>25</v>
      </c>
      <c r="C826" s="1" t="s">
        <v>1659</v>
      </c>
      <c r="D826" s="1" t="str">
        <f>Vlookup(C826,'Oil &amp; Gas Documents - Canada'!F:M,2,FALSE)</f>
        <v>#N/A</v>
      </c>
      <c r="E826" s="1" t="str">
        <f>Vlookup(C826,'Oil &amp; Gas Documents - Canada'!F:N,9,FALSE)</f>
        <v>#N/A</v>
      </c>
      <c r="F826" s="1" t="s">
        <v>1660</v>
      </c>
      <c r="G826" s="4" t="str">
        <f>HYPERLINK("http://nimonikapp.com/legislations/268529","http://nimonikapp.com/legislations/268529")</f>
        <v>http://nimonikapp.com/legislations/268529</v>
      </c>
      <c r="H826" s="1" t="s">
        <v>18</v>
      </c>
      <c r="I826" s="1" t="s">
        <v>2848</v>
      </c>
      <c r="J826" s="1" t="s">
        <v>2849</v>
      </c>
      <c r="K826" s="5">
        <v>44715.0</v>
      </c>
      <c r="L826" s="5">
        <v>44562.0</v>
      </c>
      <c r="M826" s="5">
        <v>44726.0</v>
      </c>
      <c r="N826" s="1" t="s">
        <v>1661</v>
      </c>
    </row>
    <row r="827" hidden="1">
      <c r="A827" s="1" t="s">
        <v>221</v>
      </c>
      <c r="B827" s="1" t="s">
        <v>25</v>
      </c>
      <c r="C827" s="1" t="s">
        <v>1374</v>
      </c>
      <c r="D827" s="1" t="str">
        <f>Vlookup(C827,'Oil &amp; Gas Documents - Canada'!F:M,2,FALSE)</f>
        <v>#N/A</v>
      </c>
      <c r="E827" s="1" t="str">
        <f>Vlookup(C827,'Oil &amp; Gas Documents - Canada'!F:N,9,FALSE)</f>
        <v>#N/A</v>
      </c>
      <c r="F827" s="1" t="s">
        <v>1375</v>
      </c>
      <c r="G827" s="4" t="str">
        <f>HYPERLINK("http://nimonikapp.com/legislations/14929","http://nimonikapp.com/legislations/14929")</f>
        <v>http://nimonikapp.com/legislations/14929</v>
      </c>
      <c r="H827" s="1" t="s">
        <v>18</v>
      </c>
      <c r="I827" s="1" t="s">
        <v>2850</v>
      </c>
      <c r="J827" s="1" t="s">
        <v>2851</v>
      </c>
      <c r="K827" s="5">
        <v>44713.0</v>
      </c>
      <c r="M827" s="5">
        <v>44726.0</v>
      </c>
      <c r="N827" s="1" t="s">
        <v>1378</v>
      </c>
    </row>
    <row r="828" hidden="1">
      <c r="A828" s="1" t="s">
        <v>73</v>
      </c>
      <c r="B828" s="1" t="s">
        <v>364</v>
      </c>
      <c r="C828" s="1" t="s">
        <v>2852</v>
      </c>
      <c r="D828" s="1" t="str">
        <f>Vlookup(C828,'Oil &amp; Gas Documents - Canada'!F:M,2,FALSE)</f>
        <v>#N/A</v>
      </c>
      <c r="E828" s="1" t="str">
        <f>Vlookup(C828,'Oil &amp; Gas Documents - Canada'!F:N,9,FALSE)</f>
        <v>#N/A</v>
      </c>
      <c r="F828" s="1" t="s">
        <v>2853</v>
      </c>
      <c r="G828" s="4" t="str">
        <f>HYPERLINK("http://nimonikapp.com/legislations/870","http://nimonikapp.com/legislations/870")</f>
        <v>http://nimonikapp.com/legislations/870</v>
      </c>
      <c r="H828" s="1" t="s">
        <v>356</v>
      </c>
      <c r="I828" s="1" t="s">
        <v>2854</v>
      </c>
      <c r="J828" s="1" t="s">
        <v>2855</v>
      </c>
      <c r="K828" s="5">
        <v>44720.0</v>
      </c>
      <c r="L828" s="5">
        <v>44701.0</v>
      </c>
      <c r="M828" s="5">
        <v>44726.0</v>
      </c>
      <c r="N828" s="1" t="s">
        <v>2856</v>
      </c>
    </row>
    <row r="829" hidden="1">
      <c r="A829" s="1" t="s">
        <v>73</v>
      </c>
      <c r="B829" s="1" t="s">
        <v>25</v>
      </c>
      <c r="C829" s="1" t="s">
        <v>2232</v>
      </c>
      <c r="D829" s="1" t="str">
        <f>Vlookup(C829,'Oil &amp; Gas Documents - Canada'!F:M,2,FALSE)</f>
        <v>#N/A</v>
      </c>
      <c r="E829" s="1" t="str">
        <f>Vlookup(C829,'Oil &amp; Gas Documents - Canada'!F:N,9,FALSE)</f>
        <v>#N/A</v>
      </c>
      <c r="F829" s="1" t="s">
        <v>2233</v>
      </c>
      <c r="G829" s="4" t="str">
        <f>HYPERLINK("http://nimonikapp.com/legislations/13492","http://nimonikapp.com/legislations/13492")</f>
        <v>http://nimonikapp.com/legislations/13492</v>
      </c>
      <c r="H829" s="1" t="s">
        <v>18</v>
      </c>
      <c r="I829" s="1" t="s">
        <v>2854</v>
      </c>
      <c r="J829" s="1" t="s">
        <v>2855</v>
      </c>
      <c r="K829" s="5">
        <v>44720.0</v>
      </c>
      <c r="L829" s="5">
        <v>44701.0</v>
      </c>
      <c r="M829" s="5">
        <v>44726.0</v>
      </c>
      <c r="N829" s="1" t="s">
        <v>2234</v>
      </c>
    </row>
    <row r="830" hidden="1">
      <c r="A830" s="1" t="s">
        <v>73</v>
      </c>
      <c r="B830" s="1" t="s">
        <v>25</v>
      </c>
      <c r="C830" s="1" t="s">
        <v>2589</v>
      </c>
      <c r="D830" s="1" t="str">
        <f>Vlookup(C830,'Oil &amp; Gas Documents - Canada'!F:M,2,FALSE)</f>
        <v>#N/A</v>
      </c>
      <c r="E830" s="1" t="str">
        <f>Vlookup(C830,'Oil &amp; Gas Documents - Canada'!F:N,9,FALSE)</f>
        <v>#N/A</v>
      </c>
      <c r="F830" s="1" t="s">
        <v>2590</v>
      </c>
      <c r="G830" s="4" t="str">
        <f>HYPERLINK("http://nimonikapp.com/legislations/13493","http://nimonikapp.com/legislations/13493")</f>
        <v>http://nimonikapp.com/legislations/13493</v>
      </c>
      <c r="H830" s="1" t="s">
        <v>18</v>
      </c>
      <c r="I830" s="1" t="s">
        <v>2854</v>
      </c>
      <c r="J830" s="1" t="s">
        <v>2855</v>
      </c>
      <c r="K830" s="5">
        <v>44720.0</v>
      </c>
      <c r="L830" s="5">
        <v>44701.0</v>
      </c>
      <c r="M830" s="5">
        <v>44726.0</v>
      </c>
      <c r="N830" s="1" t="s">
        <v>2593</v>
      </c>
    </row>
    <row r="831" hidden="1">
      <c r="A831" s="1" t="s">
        <v>73</v>
      </c>
      <c r="B831" s="1" t="s">
        <v>364</v>
      </c>
      <c r="C831" s="1" t="s">
        <v>2857</v>
      </c>
      <c r="D831" s="1" t="str">
        <f>Vlookup(C831,'Oil &amp; Gas Documents - Canada'!F:M,2,FALSE)</f>
        <v>#N/A</v>
      </c>
      <c r="E831" s="1" t="str">
        <f>Vlookup(C831,'Oil &amp; Gas Documents - Canada'!F:N,9,FALSE)</f>
        <v>#N/A</v>
      </c>
      <c r="F831" s="1" t="s">
        <v>2858</v>
      </c>
      <c r="G831" s="4" t="str">
        <f>HYPERLINK("http://nimonikapp.com/legislations/352361","http://nimonikapp.com/legislations/352361")</f>
        <v>http://nimonikapp.com/legislations/352361</v>
      </c>
      <c r="H831" s="1" t="s">
        <v>356</v>
      </c>
      <c r="I831" s="1" t="s">
        <v>2544</v>
      </c>
      <c r="J831" s="1" t="s">
        <v>2545</v>
      </c>
      <c r="K831" s="5">
        <v>44723.0</v>
      </c>
      <c r="L831" s="5">
        <v>44713.0</v>
      </c>
      <c r="M831" s="5">
        <v>44726.0</v>
      </c>
      <c r="N831" s="1" t="s">
        <v>2859</v>
      </c>
    </row>
    <row r="832" hidden="1">
      <c r="A832" s="1" t="s">
        <v>73</v>
      </c>
      <c r="B832" s="1" t="s">
        <v>364</v>
      </c>
      <c r="C832" s="1" t="s">
        <v>2860</v>
      </c>
      <c r="D832" s="1" t="str">
        <f>Vlookup(C832,'Oil &amp; Gas Documents - Canada'!F:M,2,FALSE)</f>
        <v>#N/A</v>
      </c>
      <c r="E832" s="1" t="str">
        <f>Vlookup(C832,'Oil &amp; Gas Documents - Canada'!F:N,9,FALSE)</f>
        <v>#N/A</v>
      </c>
      <c r="F832" s="1" t="s">
        <v>2861</v>
      </c>
      <c r="G832" s="4" t="str">
        <f>HYPERLINK("http://nimonikapp.com/legislations/352363","http://nimonikapp.com/legislations/352363")</f>
        <v>http://nimonikapp.com/legislations/352363</v>
      </c>
      <c r="H832" s="1" t="s">
        <v>356</v>
      </c>
      <c r="I832" s="1" t="s">
        <v>2549</v>
      </c>
      <c r="J832" s="1" t="s">
        <v>2550</v>
      </c>
      <c r="K832" s="5">
        <v>44723.0</v>
      </c>
      <c r="L832" s="5">
        <v>44713.0</v>
      </c>
      <c r="M832" s="5">
        <v>44726.0</v>
      </c>
      <c r="N832" s="1" t="s">
        <v>2862</v>
      </c>
    </row>
    <row r="833" hidden="1">
      <c r="A833" s="1" t="s">
        <v>73</v>
      </c>
      <c r="B833" s="1" t="s">
        <v>364</v>
      </c>
      <c r="C833" s="1" t="s">
        <v>2863</v>
      </c>
      <c r="D833" s="1" t="str">
        <f>Vlookup(C833,'Oil &amp; Gas Documents - Canada'!F:M,2,FALSE)</f>
        <v>#N/A</v>
      </c>
      <c r="E833" s="1" t="str">
        <f>Vlookup(C833,'Oil &amp; Gas Documents - Canada'!F:N,9,FALSE)</f>
        <v>#N/A</v>
      </c>
      <c r="F833" s="1" t="s">
        <v>2864</v>
      </c>
      <c r="G833" s="4" t="str">
        <f>HYPERLINK("http://nimonikapp.com/legislations/343286","http://nimonikapp.com/legislations/343286")</f>
        <v>http://nimonikapp.com/legislations/343286</v>
      </c>
      <c r="H833" s="1" t="s">
        <v>356</v>
      </c>
      <c r="I833" s="1" t="s">
        <v>2865</v>
      </c>
      <c r="J833" s="1" t="s">
        <v>2866</v>
      </c>
      <c r="K833" s="5">
        <v>44723.0</v>
      </c>
      <c r="L833" s="5">
        <v>44712.0</v>
      </c>
      <c r="M833" s="5">
        <v>44726.0</v>
      </c>
      <c r="N833" s="1" t="s">
        <v>2867</v>
      </c>
    </row>
    <row r="834" hidden="1">
      <c r="A834" s="1" t="s">
        <v>73</v>
      </c>
      <c r="B834" s="1" t="s">
        <v>364</v>
      </c>
      <c r="C834" s="1" t="s">
        <v>2868</v>
      </c>
      <c r="D834" s="1" t="str">
        <f>Vlookup(C834,'Oil &amp; Gas Documents - Canada'!F:M,2,FALSE)</f>
        <v>#N/A</v>
      </c>
      <c r="E834" s="1" t="str">
        <f>Vlookup(C834,'Oil &amp; Gas Documents - Canada'!F:N,9,FALSE)</f>
        <v>#N/A</v>
      </c>
      <c r="F834" s="1" t="s">
        <v>2869</v>
      </c>
      <c r="G834" s="4" t="str">
        <f>HYPERLINK("http://nimonikapp.com/legislations/343284","http://nimonikapp.com/legislations/343284")</f>
        <v>http://nimonikapp.com/legislations/343284</v>
      </c>
      <c r="H834" s="1" t="s">
        <v>356</v>
      </c>
      <c r="I834" s="1" t="s">
        <v>2865</v>
      </c>
      <c r="J834" s="1" t="s">
        <v>2866</v>
      </c>
      <c r="K834" s="5">
        <v>44723.0</v>
      </c>
      <c r="L834" s="5">
        <v>44712.0</v>
      </c>
      <c r="M834" s="5">
        <v>44726.0</v>
      </c>
      <c r="N834" s="1" t="s">
        <v>2870</v>
      </c>
    </row>
    <row r="835" hidden="1">
      <c r="A835" s="1" t="s">
        <v>14</v>
      </c>
      <c r="B835" s="1" t="s">
        <v>25</v>
      </c>
      <c r="C835" s="1" t="s">
        <v>2871</v>
      </c>
      <c r="D835" s="1" t="str">
        <f>Vlookup(C835,'Oil &amp; Gas Documents - Canada'!F:M,2,FALSE)</f>
        <v>#N/A</v>
      </c>
      <c r="E835" s="1" t="str">
        <f>Vlookup(C835,'Oil &amp; Gas Documents - Canada'!F:N,9,FALSE)</f>
        <v>#N/A</v>
      </c>
      <c r="F835" s="1" t="s">
        <v>2872</v>
      </c>
      <c r="G835" s="4" t="str">
        <f>HYPERLINK("http://nimonikapp.com/legislations/622","http://nimonikapp.com/legislations/622")</f>
        <v>http://nimonikapp.com/legislations/622</v>
      </c>
      <c r="H835" s="1" t="s">
        <v>18</v>
      </c>
      <c r="I835" s="1" t="s">
        <v>2873</v>
      </c>
      <c r="J835" s="1" t="s">
        <v>2874</v>
      </c>
      <c r="K835" s="5">
        <v>44699.0</v>
      </c>
      <c r="M835" s="5">
        <v>44725.0</v>
      </c>
      <c r="N835" s="1" t="s">
        <v>2875</v>
      </c>
    </row>
    <row r="836" hidden="1">
      <c r="A836" s="1" t="s">
        <v>14</v>
      </c>
      <c r="B836" s="1" t="s">
        <v>25</v>
      </c>
      <c r="C836" s="1" t="s">
        <v>2876</v>
      </c>
      <c r="D836" s="1" t="str">
        <f>Vlookup(C836,'Oil &amp; Gas Documents - Canada'!F:M,2,FALSE)</f>
        <v>#N/A</v>
      </c>
      <c r="E836" s="1" t="str">
        <f>Vlookup(C836,'Oil &amp; Gas Documents - Canada'!F:N,9,FALSE)</f>
        <v>#N/A</v>
      </c>
      <c r="F836" s="1" t="s">
        <v>2877</v>
      </c>
      <c r="G836" s="4" t="str">
        <f>HYPERLINK("http://nimonikapp.com/legislations/116362","http://nimonikapp.com/legislations/116362")</f>
        <v>http://nimonikapp.com/legislations/116362</v>
      </c>
      <c r="H836" s="1" t="s">
        <v>18</v>
      </c>
      <c r="I836" s="1" t="s">
        <v>2878</v>
      </c>
      <c r="J836" s="1" t="s">
        <v>2879</v>
      </c>
      <c r="K836" s="5">
        <v>44699.0</v>
      </c>
      <c r="L836" s="5">
        <v>44699.0</v>
      </c>
      <c r="M836" s="5">
        <v>44725.0</v>
      </c>
      <c r="N836" s="1" t="s">
        <v>2880</v>
      </c>
    </row>
    <row r="837" hidden="1">
      <c r="A837" s="1" t="s">
        <v>21</v>
      </c>
      <c r="B837" s="1" t="s">
        <v>25</v>
      </c>
      <c r="C837" s="1" t="s">
        <v>2881</v>
      </c>
      <c r="D837" s="1" t="str">
        <f>Vlookup(C837,'Oil &amp; Gas Documents - Canada'!F:M,2,FALSE)</f>
        <v>#N/A</v>
      </c>
      <c r="E837" s="1" t="str">
        <f>Vlookup(C837,'Oil &amp; Gas Documents - Canada'!F:N,9,FALSE)</f>
        <v>#N/A</v>
      </c>
      <c r="F837" s="1" t="s">
        <v>2882</v>
      </c>
      <c r="G837" s="4" t="str">
        <f>HYPERLINK("http://nimonikapp.com/legislations/105977","http://nimonikapp.com/legislations/105977")</f>
        <v>http://nimonikapp.com/legislations/105977</v>
      </c>
      <c r="H837" s="1" t="s">
        <v>18</v>
      </c>
      <c r="I837" s="1" t="s">
        <v>2883</v>
      </c>
      <c r="J837" s="1" t="s">
        <v>490</v>
      </c>
      <c r="K837" s="5">
        <v>44712.0</v>
      </c>
      <c r="L837" s="5">
        <v>44712.0</v>
      </c>
      <c r="M837" s="5">
        <v>44722.0</v>
      </c>
    </row>
    <row r="838" hidden="1">
      <c r="A838" s="1" t="s">
        <v>21</v>
      </c>
      <c r="B838" s="1" t="s">
        <v>25</v>
      </c>
      <c r="C838" s="1" t="s">
        <v>2884</v>
      </c>
      <c r="D838" s="1" t="str">
        <f>Vlookup(C838,'Oil &amp; Gas Documents - Canada'!F:M,2,FALSE)</f>
        <v>#N/A</v>
      </c>
      <c r="E838" s="1" t="str">
        <f>Vlookup(C838,'Oil &amp; Gas Documents - Canada'!F:N,9,FALSE)</f>
        <v>#N/A</v>
      </c>
      <c r="F838" s="1" t="s">
        <v>2885</v>
      </c>
      <c r="G838" s="4" t="str">
        <f>HYPERLINK("http://nimonikapp.com/legislations/469","http://nimonikapp.com/legislations/469")</f>
        <v>http://nimonikapp.com/legislations/469</v>
      </c>
      <c r="H838" s="1" t="s">
        <v>18</v>
      </c>
      <c r="I838" s="1" t="s">
        <v>2883</v>
      </c>
      <c r="J838" s="1" t="s">
        <v>490</v>
      </c>
      <c r="K838" s="5">
        <v>44712.0</v>
      </c>
      <c r="L838" s="5">
        <v>44712.0</v>
      </c>
      <c r="M838" s="5">
        <v>44722.0</v>
      </c>
    </row>
    <row r="839" hidden="1">
      <c r="A839" s="1" t="s">
        <v>21</v>
      </c>
      <c r="B839" s="1" t="s">
        <v>25</v>
      </c>
      <c r="C839" s="1" t="s">
        <v>2886</v>
      </c>
      <c r="D839" s="1" t="str">
        <f>Vlookup(C839,'Oil &amp; Gas Documents - Canada'!F:M,2,FALSE)</f>
        <v>#N/A</v>
      </c>
      <c r="E839" s="1" t="str">
        <f>Vlookup(C839,'Oil &amp; Gas Documents - Canada'!F:N,9,FALSE)</f>
        <v>#N/A</v>
      </c>
      <c r="F839" s="1" t="s">
        <v>1354</v>
      </c>
      <c r="G839" s="4" t="str">
        <f>HYPERLINK("http://nimonikapp.com/legislations/278458","http://nimonikapp.com/legislations/278458")</f>
        <v>http://nimonikapp.com/legislations/278458</v>
      </c>
      <c r="H839" s="1" t="s">
        <v>18</v>
      </c>
      <c r="I839" s="1" t="s">
        <v>2883</v>
      </c>
      <c r="J839" s="1" t="s">
        <v>490</v>
      </c>
      <c r="K839" s="5">
        <v>44712.0</v>
      </c>
      <c r="L839" s="5">
        <v>44712.0</v>
      </c>
      <c r="M839" s="5">
        <v>44722.0</v>
      </c>
      <c r="N839" s="1" t="s">
        <v>2887</v>
      </c>
    </row>
    <row r="840" hidden="1">
      <c r="A840" s="1" t="s">
        <v>21</v>
      </c>
      <c r="B840" s="1" t="s">
        <v>25</v>
      </c>
      <c r="C840" s="1" t="s">
        <v>2888</v>
      </c>
      <c r="D840" s="1" t="str">
        <f>Vlookup(C840,'Oil &amp; Gas Documents - Canada'!F:M,2,FALSE)</f>
        <v>#N/A</v>
      </c>
      <c r="E840" s="1" t="str">
        <f>Vlookup(C840,'Oil &amp; Gas Documents - Canada'!F:N,9,FALSE)</f>
        <v>#N/A</v>
      </c>
      <c r="F840" s="1" t="s">
        <v>2889</v>
      </c>
      <c r="G840" s="4" t="str">
        <f>HYPERLINK("http://nimonikapp.com/legislations/161268","http://nimonikapp.com/legislations/161268")</f>
        <v>http://nimonikapp.com/legislations/161268</v>
      </c>
      <c r="H840" s="1" t="s">
        <v>18</v>
      </c>
      <c r="I840" s="1" t="s">
        <v>2890</v>
      </c>
      <c r="J840" s="1" t="s">
        <v>2891</v>
      </c>
      <c r="K840" s="5">
        <v>44712.0</v>
      </c>
      <c r="L840" s="5">
        <v>44712.0</v>
      </c>
      <c r="M840" s="5">
        <v>44722.0</v>
      </c>
      <c r="N840" s="1" t="s">
        <v>2803</v>
      </c>
    </row>
    <row r="841" hidden="1">
      <c r="A841" s="1" t="s">
        <v>21</v>
      </c>
      <c r="B841" s="1" t="s">
        <v>25</v>
      </c>
      <c r="C841" s="1" t="s">
        <v>2816</v>
      </c>
      <c r="D841" s="1" t="str">
        <f>Vlookup(C841,'Oil &amp; Gas Documents - Canada'!F:M,2,FALSE)</f>
        <v>#N/A</v>
      </c>
      <c r="E841" s="1" t="str">
        <f>Vlookup(C841,'Oil &amp; Gas Documents - Canada'!F:N,9,FALSE)</f>
        <v>#N/A</v>
      </c>
      <c r="F841" s="1" t="s">
        <v>2817</v>
      </c>
      <c r="G841" s="4" t="str">
        <f>HYPERLINK("http://nimonikapp.com/legislations/10314","http://nimonikapp.com/legislations/10314")</f>
        <v>http://nimonikapp.com/legislations/10314</v>
      </c>
      <c r="H841" s="1" t="s">
        <v>18</v>
      </c>
      <c r="I841" s="1" t="s">
        <v>2890</v>
      </c>
      <c r="J841" s="1" t="s">
        <v>2891</v>
      </c>
      <c r="K841" s="5">
        <v>44712.0</v>
      </c>
      <c r="L841" s="5">
        <v>44712.0</v>
      </c>
      <c r="M841" s="5">
        <v>44722.0</v>
      </c>
      <c r="N841" s="1" t="s">
        <v>2818</v>
      </c>
    </row>
    <row r="842" hidden="1">
      <c r="A842" s="1" t="s">
        <v>21</v>
      </c>
      <c r="B842" s="1" t="s">
        <v>25</v>
      </c>
      <c r="C842" s="1" t="s">
        <v>2272</v>
      </c>
      <c r="D842" s="1" t="str">
        <f>Vlookup(C842,'Oil &amp; Gas Documents - Canada'!F:M,2,FALSE)</f>
        <v>#N/A</v>
      </c>
      <c r="E842" s="1" t="str">
        <f>Vlookup(C842,'Oil &amp; Gas Documents - Canada'!F:N,9,FALSE)</f>
        <v>#N/A</v>
      </c>
      <c r="F842" s="1" t="s">
        <v>2273</v>
      </c>
      <c r="G842" s="4" t="str">
        <f>HYPERLINK("http://nimonikapp.com/legislations/6410","http://nimonikapp.com/legislations/6410")</f>
        <v>http://nimonikapp.com/legislations/6410</v>
      </c>
      <c r="H842" s="1" t="s">
        <v>18</v>
      </c>
      <c r="I842" s="1" t="s">
        <v>2890</v>
      </c>
      <c r="J842" s="1" t="s">
        <v>2891</v>
      </c>
      <c r="K842" s="5">
        <v>44712.0</v>
      </c>
      <c r="L842" s="5">
        <v>44712.0</v>
      </c>
      <c r="M842" s="5">
        <v>44722.0</v>
      </c>
      <c r="N842" s="1" t="s">
        <v>2274</v>
      </c>
    </row>
    <row r="843" hidden="1">
      <c r="A843" s="1" t="s">
        <v>21</v>
      </c>
      <c r="B843" s="1" t="s">
        <v>25</v>
      </c>
      <c r="C843" s="1" t="s">
        <v>2275</v>
      </c>
      <c r="D843" s="1" t="str">
        <f>Vlookup(C843,'Oil &amp; Gas Documents - Canada'!F:M,2,FALSE)</f>
        <v>#N/A</v>
      </c>
      <c r="E843" s="1" t="str">
        <f>Vlookup(C843,'Oil &amp; Gas Documents - Canada'!F:N,9,FALSE)</f>
        <v>#N/A</v>
      </c>
      <c r="F843" s="1" t="s">
        <v>2276</v>
      </c>
      <c r="G843" s="4" t="str">
        <f>HYPERLINK("http://nimonikapp.com/legislations/4037","http://nimonikapp.com/legislations/4037")</f>
        <v>http://nimonikapp.com/legislations/4037</v>
      </c>
      <c r="H843" s="1" t="s">
        <v>18</v>
      </c>
      <c r="I843" s="1" t="s">
        <v>2890</v>
      </c>
      <c r="J843" s="1" t="s">
        <v>2891</v>
      </c>
      <c r="K843" s="5">
        <v>44712.0</v>
      </c>
      <c r="L843" s="5">
        <v>44712.0</v>
      </c>
      <c r="M843" s="5">
        <v>44722.0</v>
      </c>
      <c r="N843" s="1" t="s">
        <v>2277</v>
      </c>
    </row>
    <row r="844" hidden="1">
      <c r="A844" s="1" t="s">
        <v>21</v>
      </c>
      <c r="B844" s="1" t="s">
        <v>25</v>
      </c>
      <c r="C844" s="1" t="s">
        <v>2278</v>
      </c>
      <c r="D844" s="1" t="str">
        <f>Vlookup(C844,'Oil &amp; Gas Documents - Canada'!F:M,2,FALSE)</f>
        <v>#N/A</v>
      </c>
      <c r="E844" s="1" t="str">
        <f>Vlookup(C844,'Oil &amp; Gas Documents - Canada'!F:N,9,FALSE)</f>
        <v>#N/A</v>
      </c>
      <c r="F844" s="1" t="s">
        <v>2279</v>
      </c>
      <c r="G844" s="4" t="str">
        <f>HYPERLINK("http://nimonikapp.com/legislations/10214","http://nimonikapp.com/legislations/10214")</f>
        <v>http://nimonikapp.com/legislations/10214</v>
      </c>
      <c r="H844" s="1" t="s">
        <v>18</v>
      </c>
      <c r="I844" s="1" t="s">
        <v>2890</v>
      </c>
      <c r="J844" s="1" t="s">
        <v>2891</v>
      </c>
      <c r="K844" s="5">
        <v>44712.0</v>
      </c>
      <c r="L844" s="5">
        <v>44712.0</v>
      </c>
      <c r="M844" s="5">
        <v>44722.0</v>
      </c>
    </row>
    <row r="845" hidden="1">
      <c r="A845" s="1" t="s">
        <v>21</v>
      </c>
      <c r="B845" s="1" t="s">
        <v>25</v>
      </c>
      <c r="C845" s="1" t="s">
        <v>2800</v>
      </c>
      <c r="D845" s="1" t="str">
        <f>Vlookup(C845,'Oil &amp; Gas Documents - Canada'!F:M,2,FALSE)</f>
        <v>#N/A</v>
      </c>
      <c r="E845" s="1" t="str">
        <f>Vlookup(C845,'Oil &amp; Gas Documents - Canada'!F:N,9,FALSE)</f>
        <v>#N/A</v>
      </c>
      <c r="F845" s="1" t="s">
        <v>1131</v>
      </c>
      <c r="G845" s="4" t="str">
        <f>HYPERLINK("http://nimonikapp.com/legislations/10311","http://nimonikapp.com/legislations/10311")</f>
        <v>http://nimonikapp.com/legislations/10311</v>
      </c>
      <c r="H845" s="1" t="s">
        <v>18</v>
      </c>
      <c r="I845" s="1" t="s">
        <v>2890</v>
      </c>
      <c r="J845" s="1" t="s">
        <v>2891</v>
      </c>
      <c r="K845" s="5">
        <v>44712.0</v>
      </c>
      <c r="L845" s="5">
        <v>44712.0</v>
      </c>
      <c r="M845" s="5">
        <v>44722.0</v>
      </c>
      <c r="N845" s="1" t="s">
        <v>2803</v>
      </c>
    </row>
    <row r="846" hidden="1">
      <c r="A846" s="1" t="s">
        <v>21</v>
      </c>
      <c r="B846" s="1" t="s">
        <v>25</v>
      </c>
      <c r="C846" s="1" t="s">
        <v>2268</v>
      </c>
      <c r="D846" s="1" t="str">
        <f>Vlookup(C846,'Oil &amp; Gas Documents - Canada'!F:M,2,FALSE)</f>
        <v>#N/A</v>
      </c>
      <c r="E846" s="1" t="str">
        <f>Vlookup(C846,'Oil &amp; Gas Documents - Canada'!F:N,9,FALSE)</f>
        <v>#N/A</v>
      </c>
      <c r="F846" s="1" t="s">
        <v>2269</v>
      </c>
      <c r="G846" s="4" t="str">
        <f>HYPERLINK("http://nimonikapp.com/legislations/10215","http://nimonikapp.com/legislations/10215")</f>
        <v>http://nimonikapp.com/legislations/10215</v>
      </c>
      <c r="H846" s="1" t="s">
        <v>18</v>
      </c>
      <c r="I846" s="1" t="s">
        <v>2890</v>
      </c>
      <c r="J846" s="1" t="s">
        <v>2891</v>
      </c>
      <c r="K846" s="5">
        <v>44712.0</v>
      </c>
      <c r="L846" s="5">
        <v>44712.0</v>
      </c>
      <c r="M846" s="5">
        <v>44722.0</v>
      </c>
    </row>
    <row r="847" hidden="1">
      <c r="A847" s="1" t="s">
        <v>21</v>
      </c>
      <c r="B847" s="1" t="s">
        <v>25</v>
      </c>
      <c r="C847" s="1" t="s">
        <v>2892</v>
      </c>
      <c r="D847" s="1" t="str">
        <f>Vlookup(C847,'Oil &amp; Gas Documents - Canada'!F:M,2,FALSE)</f>
        <v>#N/A</v>
      </c>
      <c r="E847" s="1" t="str">
        <f>Vlookup(C847,'Oil &amp; Gas Documents - Canada'!F:N,9,FALSE)</f>
        <v>#N/A</v>
      </c>
      <c r="F847" s="1" t="s">
        <v>2893</v>
      </c>
      <c r="G847" s="4" t="str">
        <f>HYPERLINK("http://nimonikapp.com/legislations/7005","http://nimonikapp.com/legislations/7005")</f>
        <v>http://nimonikapp.com/legislations/7005</v>
      </c>
      <c r="H847" s="1" t="s">
        <v>18</v>
      </c>
      <c r="I847" s="1" t="s">
        <v>2890</v>
      </c>
      <c r="J847" s="1" t="s">
        <v>2891</v>
      </c>
      <c r="K847" s="5">
        <v>44712.0</v>
      </c>
      <c r="L847" s="5">
        <v>44712.0</v>
      </c>
      <c r="M847" s="5">
        <v>44722.0</v>
      </c>
      <c r="N847" s="1" t="s">
        <v>2803</v>
      </c>
    </row>
    <row r="848" hidden="1">
      <c r="A848" s="1" t="s">
        <v>21</v>
      </c>
      <c r="B848" s="1" t="s">
        <v>25</v>
      </c>
      <c r="C848" s="1" t="s">
        <v>2894</v>
      </c>
      <c r="D848" s="1" t="str">
        <f>Vlookup(C848,'Oil &amp; Gas Documents - Canada'!F:M,2,FALSE)</f>
        <v>#N/A</v>
      </c>
      <c r="E848" s="1" t="str">
        <f>Vlookup(C848,'Oil &amp; Gas Documents - Canada'!F:N,9,FALSE)</f>
        <v>#N/A</v>
      </c>
      <c r="F848" s="1" t="s">
        <v>2895</v>
      </c>
      <c r="G848" s="4" t="str">
        <f>HYPERLINK("http://nimonikapp.com/legislations/6355","http://nimonikapp.com/legislations/6355")</f>
        <v>http://nimonikapp.com/legislations/6355</v>
      </c>
      <c r="H848" s="1" t="s">
        <v>18</v>
      </c>
      <c r="I848" s="1" t="s">
        <v>2896</v>
      </c>
      <c r="J848" s="1" t="s">
        <v>2897</v>
      </c>
      <c r="K848" s="5">
        <v>44712.0</v>
      </c>
      <c r="L848" s="5">
        <v>44712.0</v>
      </c>
      <c r="M848" s="5">
        <v>44722.0</v>
      </c>
      <c r="N848" s="1" t="s">
        <v>2898</v>
      </c>
    </row>
    <row r="849" hidden="1">
      <c r="A849" s="1" t="s">
        <v>73</v>
      </c>
      <c r="B849" s="1" t="s">
        <v>25</v>
      </c>
      <c r="C849" s="1" t="s">
        <v>2232</v>
      </c>
      <c r="D849" s="1" t="str">
        <f>Vlookup(C849,'Oil &amp; Gas Documents - Canada'!F:M,2,FALSE)</f>
        <v>#N/A</v>
      </c>
      <c r="E849" s="1" t="str">
        <f>Vlookup(C849,'Oil &amp; Gas Documents - Canada'!F:N,9,FALSE)</f>
        <v>#N/A</v>
      </c>
      <c r="F849" s="1" t="s">
        <v>2233</v>
      </c>
      <c r="G849" s="4" t="str">
        <f>HYPERLINK("http://nimonikapp.com/legislations/13492","http://nimonikapp.com/legislations/13492")</f>
        <v>http://nimonikapp.com/legislations/13492</v>
      </c>
      <c r="H849" s="1" t="s">
        <v>18</v>
      </c>
      <c r="I849" s="1" t="s">
        <v>427</v>
      </c>
      <c r="J849" s="1" t="s">
        <v>428</v>
      </c>
      <c r="K849" s="5">
        <v>44720.0</v>
      </c>
      <c r="L849" s="5">
        <v>44701.0</v>
      </c>
      <c r="M849" s="5">
        <v>44722.0</v>
      </c>
      <c r="N849" s="1" t="s">
        <v>2234</v>
      </c>
    </row>
    <row r="850">
      <c r="A850" s="1" t="s">
        <v>73</v>
      </c>
      <c r="B850" s="1" t="s">
        <v>25</v>
      </c>
      <c r="C850" s="1" t="s">
        <v>425</v>
      </c>
      <c r="D850" s="1" t="s">
        <v>26</v>
      </c>
      <c r="E850" s="1" t="str">
        <f>Vlookup(C850,'Oil &amp; Gas Documents - Canada'!F:N,9,FALSE)</f>
        <v>#N/A</v>
      </c>
      <c r="F850" s="1" t="s">
        <v>424</v>
      </c>
      <c r="G850" s="4" t="str">
        <f>HYPERLINK("http://nimonikapp.com/legislations/130006","http://nimonikapp.com/legislations/130006")</f>
        <v>http://nimonikapp.com/legislations/130006</v>
      </c>
      <c r="H850" s="1" t="s">
        <v>18</v>
      </c>
      <c r="I850" s="1" t="s">
        <v>427</v>
      </c>
      <c r="J850" s="1" t="s">
        <v>428</v>
      </c>
      <c r="K850" s="5">
        <v>44720.0</v>
      </c>
      <c r="L850" s="5">
        <v>44701.0</v>
      </c>
      <c r="M850" s="5">
        <v>44722.0</v>
      </c>
      <c r="N850" s="1" t="s">
        <v>426</v>
      </c>
    </row>
    <row r="851" hidden="1">
      <c r="A851" s="1" t="s">
        <v>73</v>
      </c>
      <c r="B851" s="1" t="s">
        <v>25</v>
      </c>
      <c r="C851" s="1" t="s">
        <v>2899</v>
      </c>
      <c r="D851" s="1" t="str">
        <f>Vlookup(C851,'Oil &amp; Gas Documents - Canada'!F:M,2,FALSE)</f>
        <v>#N/A</v>
      </c>
      <c r="E851" s="1" t="str">
        <f>Vlookup(C851,'Oil &amp; Gas Documents - Canada'!F:N,9,FALSE)</f>
        <v>#N/A</v>
      </c>
      <c r="F851" s="1" t="s">
        <v>2900</v>
      </c>
      <c r="G851" s="4" t="str">
        <f>HYPERLINK("http://nimonikapp.com/legislations/4014","http://nimonikapp.com/legislations/4014")</f>
        <v>http://nimonikapp.com/legislations/4014</v>
      </c>
      <c r="H851" s="1" t="s">
        <v>18</v>
      </c>
      <c r="I851" s="1" t="s">
        <v>2901</v>
      </c>
      <c r="J851" s="1" t="s">
        <v>2902</v>
      </c>
      <c r="K851" s="5">
        <v>44720.0</v>
      </c>
      <c r="L851" s="5">
        <v>44708.0</v>
      </c>
      <c r="M851" s="5">
        <v>44721.0</v>
      </c>
      <c r="N851" s="1" t="s">
        <v>2903</v>
      </c>
    </row>
    <row r="852" hidden="1">
      <c r="A852" s="1" t="s">
        <v>73</v>
      </c>
      <c r="B852" s="1" t="s">
        <v>25</v>
      </c>
      <c r="C852" s="1" t="s">
        <v>2904</v>
      </c>
      <c r="D852" s="1" t="str">
        <f>Vlookup(C852,'Oil &amp; Gas Documents - Canada'!F:M,2,FALSE)</f>
        <v>#N/A</v>
      </c>
      <c r="E852" s="1" t="str">
        <f>Vlookup(C852,'Oil &amp; Gas Documents - Canada'!F:N,9,FALSE)</f>
        <v>#N/A</v>
      </c>
      <c r="F852" s="1" t="s">
        <v>2905</v>
      </c>
      <c r="G852" s="4" t="str">
        <f>HYPERLINK("http://nimonikapp.com/legislations/974","http://nimonikapp.com/legislations/974")</f>
        <v>http://nimonikapp.com/legislations/974</v>
      </c>
      <c r="H852" s="1" t="s">
        <v>18</v>
      </c>
      <c r="I852" s="1" t="s">
        <v>2906</v>
      </c>
      <c r="J852" s="1" t="s">
        <v>2907</v>
      </c>
      <c r="K852" s="5">
        <v>44720.0</v>
      </c>
      <c r="L852" s="5">
        <v>44772.0</v>
      </c>
      <c r="M852" s="5">
        <v>44721.0</v>
      </c>
      <c r="N852" s="1" t="s">
        <v>2908</v>
      </c>
    </row>
    <row r="853" hidden="1">
      <c r="A853" s="1" t="s">
        <v>73</v>
      </c>
      <c r="B853" s="1" t="s">
        <v>25</v>
      </c>
      <c r="C853" s="1" t="s">
        <v>1045</v>
      </c>
      <c r="D853" s="1" t="str">
        <f>Vlookup(C853,'Oil &amp; Gas Documents - Canada'!F:M,2,FALSE)</f>
        <v>#N/A</v>
      </c>
      <c r="E853" s="1" t="str">
        <f>Vlookup(C853,'Oil &amp; Gas Documents - Canada'!F:N,9,FALSE)</f>
        <v>#N/A</v>
      </c>
      <c r="F853" s="1" t="s">
        <v>1046</v>
      </c>
      <c r="G853" s="4" t="str">
        <f t="shared" ref="G853:G854" si="19">HYPERLINK("http://nimonikapp.com/legislations/321966","http://nimonikapp.com/legislations/321966")</f>
        <v>http://nimonikapp.com/legislations/321966</v>
      </c>
      <c r="H853" s="1" t="s">
        <v>18</v>
      </c>
      <c r="I853" s="1" t="s">
        <v>2909</v>
      </c>
      <c r="J853" s="1" t="s">
        <v>1048</v>
      </c>
      <c r="K853" s="5">
        <v>44720.0</v>
      </c>
      <c r="L853" s="5">
        <v>44708.0</v>
      </c>
      <c r="M853" s="5">
        <v>44721.0</v>
      </c>
      <c r="N853" s="1" t="s">
        <v>1049</v>
      </c>
    </row>
    <row r="854" hidden="1">
      <c r="A854" s="1" t="s">
        <v>73</v>
      </c>
      <c r="B854" s="1" t="s">
        <v>25</v>
      </c>
      <c r="C854" s="1" t="s">
        <v>1045</v>
      </c>
      <c r="D854" s="1" t="str">
        <f>Vlookup(C854,'Oil &amp; Gas Documents - Canada'!F:M,2,FALSE)</f>
        <v>#N/A</v>
      </c>
      <c r="E854" s="1" t="str">
        <f>Vlookup(C854,'Oil &amp; Gas Documents - Canada'!F:N,9,FALSE)</f>
        <v>#N/A</v>
      </c>
      <c r="F854" s="1" t="s">
        <v>1046</v>
      </c>
      <c r="G854" s="4" t="str">
        <f t="shared" si="19"/>
        <v>http://nimonikapp.com/legislations/321966</v>
      </c>
      <c r="H854" s="1" t="s">
        <v>18</v>
      </c>
      <c r="I854" s="1" t="s">
        <v>2910</v>
      </c>
      <c r="J854" s="1" t="s">
        <v>1048</v>
      </c>
      <c r="K854" s="5">
        <v>44720.0</v>
      </c>
      <c r="L854" s="5">
        <v>44699.0</v>
      </c>
      <c r="M854" s="5">
        <v>44721.0</v>
      </c>
      <c r="N854" s="1" t="s">
        <v>1049</v>
      </c>
    </row>
    <row r="855" hidden="1">
      <c r="A855" s="1" t="s">
        <v>73</v>
      </c>
      <c r="B855" s="1" t="s">
        <v>364</v>
      </c>
      <c r="C855" s="1" t="s">
        <v>2911</v>
      </c>
      <c r="D855" s="1" t="str">
        <f>Vlookup(C855,'Oil &amp; Gas Documents - Canada'!F:M,2,FALSE)</f>
        <v>#N/A</v>
      </c>
      <c r="E855" s="1" t="str">
        <f>Vlookup(C855,'Oil &amp; Gas Documents - Canada'!F:N,9,FALSE)</f>
        <v>#N/A</v>
      </c>
      <c r="F855" s="1" t="s">
        <v>2912</v>
      </c>
      <c r="G855" s="4" t="str">
        <f>HYPERLINK("http://nimonikapp.com/legislations/1607","http://nimonikapp.com/legislations/1607")</f>
        <v>http://nimonikapp.com/legislations/1607</v>
      </c>
      <c r="H855" s="1" t="s">
        <v>356</v>
      </c>
      <c r="I855" s="1" t="s">
        <v>2169</v>
      </c>
      <c r="J855" s="1" t="s">
        <v>2170</v>
      </c>
      <c r="K855" s="5">
        <v>44720.0</v>
      </c>
      <c r="L855" s="5">
        <v>44772.0</v>
      </c>
      <c r="M855" s="5">
        <v>44721.0</v>
      </c>
      <c r="N855" s="1" t="s">
        <v>2913</v>
      </c>
    </row>
    <row r="856" hidden="1">
      <c r="A856" s="1" t="s">
        <v>73</v>
      </c>
      <c r="B856" s="1" t="s">
        <v>25</v>
      </c>
      <c r="C856" s="1" t="s">
        <v>2232</v>
      </c>
      <c r="D856" s="1" t="str">
        <f>Vlookup(C856,'Oil &amp; Gas Documents - Canada'!F:M,2,FALSE)</f>
        <v>#N/A</v>
      </c>
      <c r="E856" s="1" t="str">
        <f>Vlookup(C856,'Oil &amp; Gas Documents - Canada'!F:N,9,FALSE)</f>
        <v>#N/A</v>
      </c>
      <c r="F856" s="1" t="s">
        <v>2233</v>
      </c>
      <c r="G856" s="4" t="str">
        <f>HYPERLINK("http://nimonikapp.com/legislations/13492","http://nimonikapp.com/legislations/13492")</f>
        <v>http://nimonikapp.com/legislations/13492</v>
      </c>
      <c r="H856" s="1" t="s">
        <v>18</v>
      </c>
      <c r="I856" s="1" t="s">
        <v>2169</v>
      </c>
      <c r="J856" s="1" t="s">
        <v>2170</v>
      </c>
      <c r="K856" s="5">
        <v>44720.0</v>
      </c>
      <c r="L856" s="5">
        <v>44772.0</v>
      </c>
      <c r="M856" s="5">
        <v>44721.0</v>
      </c>
      <c r="N856" s="1" t="s">
        <v>2234</v>
      </c>
    </row>
    <row r="857" hidden="1">
      <c r="A857" s="1" t="s">
        <v>73</v>
      </c>
      <c r="B857" s="1" t="s">
        <v>25</v>
      </c>
      <c r="C857" s="1" t="s">
        <v>2914</v>
      </c>
      <c r="D857" s="1" t="str">
        <f>Vlookup(C857,'Oil &amp; Gas Documents - Canada'!F:M,2,FALSE)</f>
        <v>#N/A</v>
      </c>
      <c r="E857" s="1" t="str">
        <f>Vlookup(C857,'Oil &amp; Gas Documents - Canada'!F:N,9,FALSE)</f>
        <v>#N/A</v>
      </c>
      <c r="F857" s="1" t="s">
        <v>2915</v>
      </c>
      <c r="G857" s="4" t="str">
        <f>HYPERLINK("http://nimonikapp.com/legislations/1583","http://nimonikapp.com/legislations/1583")</f>
        <v>http://nimonikapp.com/legislations/1583</v>
      </c>
      <c r="H857" s="1" t="s">
        <v>18</v>
      </c>
      <c r="I857" s="1" t="s">
        <v>2169</v>
      </c>
      <c r="J857" s="1" t="s">
        <v>2170</v>
      </c>
      <c r="K857" s="5">
        <v>44720.0</v>
      </c>
      <c r="L857" s="5">
        <v>44772.0</v>
      </c>
      <c r="M857" s="5">
        <v>44721.0</v>
      </c>
      <c r="N857" s="1" t="s">
        <v>2916</v>
      </c>
    </row>
    <row r="858" hidden="1">
      <c r="A858" s="1" t="s">
        <v>73</v>
      </c>
      <c r="B858" s="1" t="s">
        <v>25</v>
      </c>
      <c r="C858" s="1" t="s">
        <v>2917</v>
      </c>
      <c r="D858" s="1" t="str">
        <f>Vlookup(C858,'Oil &amp; Gas Documents - Canada'!F:M,2,FALSE)</f>
        <v>#N/A</v>
      </c>
      <c r="E858" s="1" t="str">
        <f>Vlookup(C858,'Oil &amp; Gas Documents - Canada'!F:N,9,FALSE)</f>
        <v>#N/A</v>
      </c>
      <c r="F858" s="1" t="s">
        <v>2918</v>
      </c>
      <c r="G858" s="4" t="str">
        <f>HYPERLINK("http://nimonikapp.com/legislations/317185","http://nimonikapp.com/legislations/317185")</f>
        <v>http://nimonikapp.com/legislations/317185</v>
      </c>
      <c r="H858" s="1" t="s">
        <v>18</v>
      </c>
      <c r="I858" s="1" t="s">
        <v>2169</v>
      </c>
      <c r="J858" s="1" t="s">
        <v>2170</v>
      </c>
      <c r="K858" s="5">
        <v>44720.0</v>
      </c>
      <c r="L858" s="5">
        <v>44772.0</v>
      </c>
      <c r="M858" s="5">
        <v>44721.0</v>
      </c>
      <c r="N858" s="1" t="s">
        <v>2916</v>
      </c>
    </row>
    <row r="859" hidden="1">
      <c r="A859" s="1" t="s">
        <v>73</v>
      </c>
      <c r="B859" s="1" t="s">
        <v>25</v>
      </c>
      <c r="C859" s="1" t="s">
        <v>2919</v>
      </c>
      <c r="D859" s="1" t="str">
        <f>Vlookup(C859,'Oil &amp; Gas Documents - Canada'!F:M,2,FALSE)</f>
        <v>#N/A</v>
      </c>
      <c r="E859" s="1" t="str">
        <f>Vlookup(C859,'Oil &amp; Gas Documents - Canada'!F:N,9,FALSE)</f>
        <v>#N/A</v>
      </c>
      <c r="F859" s="1" t="s">
        <v>2920</v>
      </c>
      <c r="G859" s="4" t="str">
        <f>HYPERLINK("http://nimonikapp.com/legislations/14358","http://nimonikapp.com/legislations/14358")</f>
        <v>http://nimonikapp.com/legislations/14358</v>
      </c>
      <c r="H859" s="1" t="s">
        <v>18</v>
      </c>
      <c r="I859" s="1" t="s">
        <v>2169</v>
      </c>
      <c r="J859" s="1" t="s">
        <v>2170</v>
      </c>
      <c r="K859" s="5">
        <v>44720.0</v>
      </c>
      <c r="L859" s="5">
        <v>44772.0</v>
      </c>
      <c r="M859" s="5">
        <v>44721.0</v>
      </c>
      <c r="N859" s="1" t="s">
        <v>2916</v>
      </c>
    </row>
    <row r="860" hidden="1">
      <c r="A860" s="1" t="s">
        <v>73</v>
      </c>
      <c r="B860" s="1" t="s">
        <v>25</v>
      </c>
      <c r="C860" s="1" t="s">
        <v>2921</v>
      </c>
      <c r="D860" s="1" t="str">
        <f>Vlookup(C860,'Oil &amp; Gas Documents - Canada'!F:M,2,FALSE)</f>
        <v>#N/A</v>
      </c>
      <c r="E860" s="1" t="str">
        <f>Vlookup(C860,'Oil &amp; Gas Documents - Canada'!F:N,9,FALSE)</f>
        <v>#N/A</v>
      </c>
      <c r="F860" s="1" t="s">
        <v>2922</v>
      </c>
      <c r="G860" s="4" t="str">
        <f>HYPERLINK("http://nimonikapp.com/legislations/1608","http://nimonikapp.com/legislations/1608")</f>
        <v>http://nimonikapp.com/legislations/1608</v>
      </c>
      <c r="H860" s="1" t="s">
        <v>18</v>
      </c>
      <c r="I860" s="1" t="s">
        <v>2169</v>
      </c>
      <c r="J860" s="1" t="s">
        <v>2170</v>
      </c>
      <c r="K860" s="5">
        <v>44720.0</v>
      </c>
      <c r="L860" s="5">
        <v>44772.0</v>
      </c>
      <c r="M860" s="5">
        <v>44721.0</v>
      </c>
      <c r="N860" s="1" t="s">
        <v>2923</v>
      </c>
    </row>
    <row r="861" hidden="1">
      <c r="A861" s="1" t="s">
        <v>53</v>
      </c>
      <c r="B861" s="1" t="s">
        <v>25</v>
      </c>
      <c r="C861" s="1" t="s">
        <v>2924</v>
      </c>
      <c r="D861" s="1" t="str">
        <f>Vlookup(C861,'Oil &amp; Gas Documents - Canada'!F:M,2,FALSE)</f>
        <v>#N/A</v>
      </c>
      <c r="E861" s="1" t="str">
        <f>Vlookup(C861,'Oil &amp; Gas Documents - Canada'!F:N,9,FALSE)</f>
        <v>#N/A</v>
      </c>
      <c r="F861" s="1" t="s">
        <v>2925</v>
      </c>
      <c r="G861" s="4" t="str">
        <f>HYPERLINK("http://nimonikapp.com/legislations/16364","http://nimonikapp.com/legislations/16364")</f>
        <v>http://nimonikapp.com/legislations/16364</v>
      </c>
      <c r="H861" s="1" t="s">
        <v>18</v>
      </c>
      <c r="I861" s="1" t="s">
        <v>2926</v>
      </c>
      <c r="J861" s="1" t="s">
        <v>2927</v>
      </c>
      <c r="K861" s="5">
        <v>44715.0</v>
      </c>
      <c r="L861" s="5">
        <v>44698.0</v>
      </c>
      <c r="M861" s="5">
        <v>44720.0</v>
      </c>
      <c r="N861" s="1" t="s">
        <v>2928</v>
      </c>
    </row>
    <row r="862">
      <c r="A862" s="1" t="s">
        <v>21</v>
      </c>
      <c r="B862" s="1" t="s">
        <v>25</v>
      </c>
      <c r="C862" s="1" t="s">
        <v>430</v>
      </c>
      <c r="D862" s="1" t="str">
        <f>Vlookup(C862,'Oil &amp; Gas Documents - Canada'!F:M,2,FALSE)</f>
        <v>oil_and_gas</v>
      </c>
      <c r="E862" s="1" t="str">
        <f>Vlookup(C862,'Oil &amp; Gas Documents - Canada'!F:N,9,FALSE)</f>
        <v/>
      </c>
      <c r="F862" s="1" t="s">
        <v>429</v>
      </c>
      <c r="G862" s="4" t="str">
        <f>HYPERLINK("http://nimonikapp.com/legislations/116387","http://nimonikapp.com/legislations/116387")</f>
        <v>http://nimonikapp.com/legislations/116387</v>
      </c>
      <c r="H862" s="1" t="s">
        <v>18</v>
      </c>
      <c r="I862" s="1" t="s">
        <v>432</v>
      </c>
      <c r="J862" s="1" t="s">
        <v>433</v>
      </c>
      <c r="K862" s="5">
        <v>44713.0</v>
      </c>
      <c r="L862" s="5">
        <v>44713.0</v>
      </c>
      <c r="M862" s="5">
        <v>44720.0</v>
      </c>
      <c r="N862" s="1" t="s">
        <v>431</v>
      </c>
    </row>
    <row r="863" hidden="1">
      <c r="A863" s="1" t="s">
        <v>21</v>
      </c>
      <c r="B863" s="1" t="s">
        <v>25</v>
      </c>
      <c r="C863" s="1" t="s">
        <v>2275</v>
      </c>
      <c r="D863" s="1" t="str">
        <f>Vlookup(C863,'Oil &amp; Gas Documents - Canada'!F:M,2,FALSE)</f>
        <v>#N/A</v>
      </c>
      <c r="E863" s="1" t="str">
        <f>Vlookup(C863,'Oil &amp; Gas Documents - Canada'!F:N,9,FALSE)</f>
        <v>#N/A</v>
      </c>
      <c r="F863" s="1" t="s">
        <v>2276</v>
      </c>
      <c r="G863" s="4" t="str">
        <f>HYPERLINK("http://nimonikapp.com/legislations/4037","http://nimonikapp.com/legislations/4037")</f>
        <v>http://nimonikapp.com/legislations/4037</v>
      </c>
      <c r="H863" s="1" t="s">
        <v>18</v>
      </c>
      <c r="I863" s="1" t="s">
        <v>2929</v>
      </c>
      <c r="J863" s="1" t="s">
        <v>2930</v>
      </c>
      <c r="K863" s="5">
        <v>44714.0</v>
      </c>
      <c r="M863" s="5">
        <v>44720.0</v>
      </c>
      <c r="N863" s="1" t="s">
        <v>2277</v>
      </c>
    </row>
    <row r="864">
      <c r="A864" s="1" t="s">
        <v>73</v>
      </c>
      <c r="B864" s="1" t="s">
        <v>25</v>
      </c>
      <c r="C864" s="1" t="s">
        <v>435</v>
      </c>
      <c r="D864" s="1" t="str">
        <f>Vlookup(C864,'Oil &amp; Gas Documents - Canada'!F:M,2,FALSE)</f>
        <v>oil_and_gas</v>
      </c>
      <c r="E864" s="1" t="str">
        <f>Vlookup(C864,'Oil &amp; Gas Documents - Canada'!F:N,9,FALSE)</f>
        <v/>
      </c>
      <c r="F864" s="1" t="s">
        <v>434</v>
      </c>
      <c r="G864" s="4" t="str">
        <f>HYPERLINK("http://nimonikapp.com/legislations/4029","http://nimonikapp.com/legislations/4029")</f>
        <v>http://nimonikapp.com/legislations/4029</v>
      </c>
      <c r="H864" s="1" t="s">
        <v>18</v>
      </c>
      <c r="I864" s="1" t="s">
        <v>437</v>
      </c>
      <c r="J864" s="1" t="s">
        <v>438</v>
      </c>
      <c r="K864" s="5">
        <v>44720.0</v>
      </c>
      <c r="L864" s="5">
        <v>44772.0</v>
      </c>
      <c r="M864" s="5">
        <v>44720.0</v>
      </c>
      <c r="N864" s="1" t="s">
        <v>436</v>
      </c>
    </row>
    <row r="865">
      <c r="A865" s="1" t="s">
        <v>73</v>
      </c>
      <c r="B865" s="1" t="s">
        <v>25</v>
      </c>
      <c r="C865" s="1" t="s">
        <v>440</v>
      </c>
      <c r="D865" s="1" t="str">
        <f>Vlookup(C865,'Oil &amp; Gas Documents - Canada'!F:M,2,FALSE)</f>
        <v>oil_and_gas</v>
      </c>
      <c r="E865" s="1" t="str">
        <f>Vlookup(C865,'Oil &amp; Gas Documents - Canada'!F:N,9,FALSE)</f>
        <v/>
      </c>
      <c r="F865" s="1" t="s">
        <v>439</v>
      </c>
      <c r="G865" s="4" t="str">
        <f>HYPERLINK("http://nimonikapp.com/legislations/116356","http://nimonikapp.com/legislations/116356")</f>
        <v>http://nimonikapp.com/legislations/116356</v>
      </c>
      <c r="H865" s="1" t="s">
        <v>18</v>
      </c>
      <c r="I865" s="1" t="s">
        <v>442</v>
      </c>
      <c r="J865" s="1" t="s">
        <v>443</v>
      </c>
      <c r="K865" s="5">
        <v>44720.0</v>
      </c>
      <c r="L865" s="5">
        <v>44772.0</v>
      </c>
      <c r="M865" s="5">
        <v>44720.0</v>
      </c>
      <c r="N865" s="1" t="s">
        <v>441</v>
      </c>
    </row>
    <row r="866">
      <c r="A866" s="1" t="s">
        <v>73</v>
      </c>
      <c r="B866" s="1" t="s">
        <v>25</v>
      </c>
      <c r="C866" s="1" t="s">
        <v>445</v>
      </c>
      <c r="D866" s="1" t="str">
        <f>Vlookup(C866,'Oil &amp; Gas Documents - Canada'!F:M,2,FALSE)</f>
        <v>oil_and_gas</v>
      </c>
      <c r="E866" s="1" t="str">
        <f>Vlookup(C866,'Oil &amp; Gas Documents - Canada'!F:N,9,FALSE)</f>
        <v/>
      </c>
      <c r="F866" s="1" t="s">
        <v>444</v>
      </c>
      <c r="G866" s="4" t="str">
        <f>HYPERLINK("http://nimonikapp.com/legislations/10624","http://nimonikapp.com/legislations/10624")</f>
        <v>http://nimonikapp.com/legislations/10624</v>
      </c>
      <c r="H866" s="1" t="s">
        <v>18</v>
      </c>
      <c r="I866" s="1" t="s">
        <v>447</v>
      </c>
      <c r="J866" s="1" t="s">
        <v>448</v>
      </c>
      <c r="K866" s="5">
        <v>44720.0</v>
      </c>
      <c r="L866" s="5">
        <v>44772.0</v>
      </c>
      <c r="M866" s="5">
        <v>44720.0</v>
      </c>
      <c r="N866" s="1" t="s">
        <v>446</v>
      </c>
    </row>
    <row r="867" hidden="1">
      <c r="A867" s="1" t="s">
        <v>73</v>
      </c>
      <c r="B867" s="1" t="s">
        <v>25</v>
      </c>
      <c r="C867" s="1" t="s">
        <v>2931</v>
      </c>
      <c r="D867" s="1" t="str">
        <f>Vlookup(C867,'Oil &amp; Gas Documents - Canada'!F:M,2,FALSE)</f>
        <v>#N/A</v>
      </c>
      <c r="E867" s="1" t="str">
        <f>Vlookup(C867,'Oil &amp; Gas Documents - Canada'!F:N,9,FALSE)</f>
        <v>#N/A</v>
      </c>
      <c r="F867" s="1" t="s">
        <v>2932</v>
      </c>
      <c r="G867" s="4" t="str">
        <f>HYPERLINK("http://nimonikapp.com/legislations/5785","http://nimonikapp.com/legislations/5785")</f>
        <v>http://nimonikapp.com/legislations/5785</v>
      </c>
      <c r="H867" s="1" t="s">
        <v>18</v>
      </c>
      <c r="I867" s="1" t="s">
        <v>2933</v>
      </c>
      <c r="J867" s="1" t="s">
        <v>2934</v>
      </c>
      <c r="K867" s="5">
        <v>44720.0</v>
      </c>
      <c r="L867" s="5">
        <v>44708.0</v>
      </c>
      <c r="M867" s="5">
        <v>44720.0</v>
      </c>
      <c r="N867" s="1" t="s">
        <v>2935</v>
      </c>
    </row>
    <row r="868" hidden="1">
      <c r="A868" s="1" t="s">
        <v>73</v>
      </c>
      <c r="B868" s="1" t="s">
        <v>25</v>
      </c>
      <c r="C868" s="1" t="s">
        <v>1449</v>
      </c>
      <c r="D868" s="1" t="str">
        <f>Vlookup(C868,'Oil &amp; Gas Documents - Canada'!F:M,2,FALSE)</f>
        <v>#N/A</v>
      </c>
      <c r="E868" s="1" t="str">
        <f>Vlookup(C868,'Oil &amp; Gas Documents - Canada'!F:N,9,FALSE)</f>
        <v>#N/A</v>
      </c>
      <c r="F868" s="1" t="s">
        <v>1450</v>
      </c>
      <c r="G868" s="4" t="str">
        <f>HYPERLINK("http://nimonikapp.com/legislations/4483","http://nimonikapp.com/legislations/4483")</f>
        <v>http://nimonikapp.com/legislations/4483</v>
      </c>
      <c r="H868" s="1" t="s">
        <v>18</v>
      </c>
      <c r="I868" s="1" t="s">
        <v>2936</v>
      </c>
      <c r="J868" s="1" t="s">
        <v>1452</v>
      </c>
      <c r="K868" s="5">
        <v>44720.0</v>
      </c>
      <c r="L868" s="5">
        <v>44698.0</v>
      </c>
      <c r="M868" s="5">
        <v>44720.0</v>
      </c>
      <c r="N868" s="1" t="s">
        <v>1453</v>
      </c>
    </row>
    <row r="869" hidden="1">
      <c r="A869" s="1" t="s">
        <v>73</v>
      </c>
      <c r="B869" s="1" t="s">
        <v>352</v>
      </c>
      <c r="C869" s="1" t="s">
        <v>2937</v>
      </c>
      <c r="D869" s="1" t="str">
        <f>Vlookup(C869,'Oil &amp; Gas Documents - Canada'!F:M,2,FALSE)</f>
        <v>#N/A</v>
      </c>
      <c r="E869" s="1" t="str">
        <f>Vlookup(C869,'Oil &amp; Gas Documents - Canada'!F:N,9,FALSE)</f>
        <v>#N/A</v>
      </c>
      <c r="F869" s="1" t="s">
        <v>2938</v>
      </c>
      <c r="G869" s="4" t="str">
        <f>HYPERLINK("http://nimonikapp.com/legislations/10209","http://nimonikapp.com/legislations/10209")</f>
        <v>http://nimonikapp.com/legislations/10209</v>
      </c>
      <c r="H869" s="1" t="s">
        <v>356</v>
      </c>
      <c r="I869" s="1" t="s">
        <v>2939</v>
      </c>
      <c r="J869" s="1" t="s">
        <v>2940</v>
      </c>
      <c r="K869" s="5">
        <v>44720.0</v>
      </c>
      <c r="L869" s="5">
        <v>44701.0</v>
      </c>
      <c r="M869" s="5">
        <v>44720.0</v>
      </c>
      <c r="N869" s="1" t="s">
        <v>2941</v>
      </c>
    </row>
    <row r="870" hidden="1">
      <c r="A870" s="1" t="s">
        <v>73</v>
      </c>
      <c r="B870" s="1" t="s">
        <v>352</v>
      </c>
      <c r="C870" s="1" t="s">
        <v>2942</v>
      </c>
      <c r="D870" s="1" t="str">
        <f>Vlookup(C870,'Oil &amp; Gas Documents - Canada'!F:M,2,FALSE)</f>
        <v>#N/A</v>
      </c>
      <c r="E870" s="1" t="str">
        <f>Vlookup(C870,'Oil &amp; Gas Documents - Canada'!F:N,9,FALSE)</f>
        <v>#N/A</v>
      </c>
      <c r="F870" s="1" t="s">
        <v>2943</v>
      </c>
      <c r="G870" s="4" t="str">
        <f>HYPERLINK("http://nimonikapp.com/legislations/321829","http://nimonikapp.com/legislations/321829")</f>
        <v>http://nimonikapp.com/legislations/321829</v>
      </c>
      <c r="H870" s="1" t="s">
        <v>356</v>
      </c>
      <c r="I870" s="1" t="s">
        <v>2939</v>
      </c>
      <c r="J870" s="1" t="s">
        <v>2940</v>
      </c>
      <c r="K870" s="5">
        <v>44720.0</v>
      </c>
      <c r="L870" s="5">
        <v>44701.0</v>
      </c>
      <c r="M870" s="5">
        <v>44720.0</v>
      </c>
      <c r="N870" s="1" t="s">
        <v>2941</v>
      </c>
    </row>
    <row r="871" hidden="1">
      <c r="A871" s="1" t="s">
        <v>73</v>
      </c>
      <c r="B871" s="1" t="s">
        <v>352</v>
      </c>
      <c r="C871" s="1" t="s">
        <v>2944</v>
      </c>
      <c r="D871" s="1" t="str">
        <f>Vlookup(C871,'Oil &amp; Gas Documents - Canada'!F:M,2,FALSE)</f>
        <v>#N/A</v>
      </c>
      <c r="E871" s="1" t="str">
        <f>Vlookup(C871,'Oil &amp; Gas Documents - Canada'!F:N,9,FALSE)</f>
        <v>#N/A</v>
      </c>
      <c r="F871" s="1" t="s">
        <v>2945</v>
      </c>
      <c r="G871" s="4" t="str">
        <f>HYPERLINK("http://nimonikapp.com/legislations/317024","http://nimonikapp.com/legislations/317024")</f>
        <v>http://nimonikapp.com/legislations/317024</v>
      </c>
      <c r="H871" s="1" t="s">
        <v>356</v>
      </c>
      <c r="I871" s="1" t="s">
        <v>2939</v>
      </c>
      <c r="J871" s="1" t="s">
        <v>2940</v>
      </c>
      <c r="K871" s="5">
        <v>44720.0</v>
      </c>
      <c r="L871" s="5">
        <v>44701.0</v>
      </c>
      <c r="M871" s="5">
        <v>44720.0</v>
      </c>
      <c r="N871" s="1" t="s">
        <v>2941</v>
      </c>
    </row>
    <row r="872" hidden="1">
      <c r="A872" s="1" t="s">
        <v>73</v>
      </c>
      <c r="B872" s="1" t="s">
        <v>352</v>
      </c>
      <c r="C872" s="1" t="s">
        <v>2946</v>
      </c>
      <c r="D872" s="1" t="str">
        <f>Vlookup(C872,'Oil &amp; Gas Documents - Canada'!F:M,2,FALSE)</f>
        <v>#N/A</v>
      </c>
      <c r="E872" s="1" t="str">
        <f>Vlookup(C872,'Oil &amp; Gas Documents - Canada'!F:N,9,FALSE)</f>
        <v>#N/A</v>
      </c>
      <c r="F872" s="1" t="s">
        <v>2947</v>
      </c>
      <c r="G872" s="4" t="str">
        <f>HYPERLINK("http://nimonikapp.com/legislations/124091","http://nimonikapp.com/legislations/124091")</f>
        <v>http://nimonikapp.com/legislations/124091</v>
      </c>
      <c r="H872" s="1" t="s">
        <v>356</v>
      </c>
      <c r="I872" s="1" t="s">
        <v>2939</v>
      </c>
      <c r="J872" s="1" t="s">
        <v>2940</v>
      </c>
      <c r="K872" s="5">
        <v>44720.0</v>
      </c>
      <c r="L872" s="5">
        <v>44701.0</v>
      </c>
      <c r="M872" s="5">
        <v>44720.0</v>
      </c>
      <c r="N872" s="1" t="s">
        <v>2948</v>
      </c>
    </row>
    <row r="873" hidden="1">
      <c r="A873" s="1" t="s">
        <v>73</v>
      </c>
      <c r="B873" s="1" t="s">
        <v>25</v>
      </c>
      <c r="C873" s="1" t="s">
        <v>2949</v>
      </c>
      <c r="D873" s="1" t="str">
        <f>Vlookup(C873,'Oil &amp; Gas Documents - Canada'!F:M,2,FALSE)</f>
        <v>#N/A</v>
      </c>
      <c r="E873" s="1" t="str">
        <f>Vlookup(C873,'Oil &amp; Gas Documents - Canada'!F:N,9,FALSE)</f>
        <v>#N/A</v>
      </c>
      <c r="F873" s="1" t="s">
        <v>2950</v>
      </c>
      <c r="G873" s="4" t="str">
        <f>HYPERLINK("http://nimonikapp.com/legislations/2376","http://nimonikapp.com/legislations/2376")</f>
        <v>http://nimonikapp.com/legislations/2376</v>
      </c>
      <c r="H873" s="1" t="s">
        <v>18</v>
      </c>
      <c r="I873" s="1" t="s">
        <v>2939</v>
      </c>
      <c r="J873" s="1" t="s">
        <v>2940</v>
      </c>
      <c r="K873" s="5">
        <v>44720.0</v>
      </c>
      <c r="L873" s="5">
        <v>44701.0</v>
      </c>
      <c r="M873" s="5">
        <v>44720.0</v>
      </c>
      <c r="N873" s="1" t="s">
        <v>2951</v>
      </c>
    </row>
    <row r="874" hidden="1">
      <c r="A874" s="1" t="s">
        <v>73</v>
      </c>
      <c r="B874" s="1" t="s">
        <v>25</v>
      </c>
      <c r="C874" s="1" t="s">
        <v>2952</v>
      </c>
      <c r="D874" s="1" t="str">
        <f>Vlookup(C874,'Oil &amp; Gas Documents - Canada'!F:M,2,FALSE)</f>
        <v>#N/A</v>
      </c>
      <c r="E874" s="1" t="str">
        <f>Vlookup(C874,'Oil &amp; Gas Documents - Canada'!F:N,9,FALSE)</f>
        <v>#N/A</v>
      </c>
      <c r="F874" s="1" t="s">
        <v>2953</v>
      </c>
      <c r="G874" s="4" t="str">
        <f>HYPERLINK("http://nimonikapp.com/legislations/116841","http://nimonikapp.com/legislations/116841")</f>
        <v>http://nimonikapp.com/legislations/116841</v>
      </c>
      <c r="H874" s="1" t="s">
        <v>18</v>
      </c>
      <c r="I874" s="1" t="s">
        <v>2954</v>
      </c>
      <c r="J874" s="1" t="s">
        <v>2955</v>
      </c>
      <c r="K874" s="5">
        <v>44720.0</v>
      </c>
      <c r="L874" s="5">
        <v>44903.0</v>
      </c>
      <c r="M874" s="5">
        <v>44720.0</v>
      </c>
      <c r="N874" s="1" t="s">
        <v>2956</v>
      </c>
    </row>
    <row r="875" hidden="1">
      <c r="A875" s="1" t="s">
        <v>73</v>
      </c>
      <c r="B875" s="1" t="s">
        <v>25</v>
      </c>
      <c r="C875" s="1" t="s">
        <v>1435</v>
      </c>
      <c r="D875" s="1" t="str">
        <f>Vlookup(C875,'Oil &amp; Gas Documents - Canada'!F:M,2,FALSE)</f>
        <v>#N/A</v>
      </c>
      <c r="E875" s="1" t="str">
        <f>Vlookup(C875,'Oil &amp; Gas Documents - Canada'!F:N,9,FALSE)</f>
        <v>#N/A</v>
      </c>
      <c r="F875" s="1" t="s">
        <v>1436</v>
      </c>
      <c r="G875" s="4" t="str">
        <f>HYPERLINK("http://nimonikapp.com/legislations/321802","http://nimonikapp.com/legislations/321802")</f>
        <v>http://nimonikapp.com/legislations/321802</v>
      </c>
      <c r="H875" s="1" t="s">
        <v>18</v>
      </c>
      <c r="I875" s="1" t="s">
        <v>2957</v>
      </c>
      <c r="J875" s="1" t="s">
        <v>1707</v>
      </c>
      <c r="K875" s="5">
        <v>44720.0</v>
      </c>
      <c r="L875" s="5">
        <v>44701.0</v>
      </c>
      <c r="M875" s="5">
        <v>44720.0</v>
      </c>
      <c r="N875" s="1" t="s">
        <v>1439</v>
      </c>
    </row>
    <row r="876">
      <c r="A876" s="1" t="s">
        <v>24</v>
      </c>
      <c r="B876" s="1" t="s">
        <v>364</v>
      </c>
      <c r="C876" s="1" t="s">
        <v>450</v>
      </c>
      <c r="D876" s="1" t="str">
        <f>Vlookup(C876,'Oil &amp; Gas Documents - Canada'!F:M,2,FALSE)</f>
        <v>oil_and_gas</v>
      </c>
      <c r="E876" s="1" t="str">
        <f>Vlookup(C876,'Oil &amp; Gas Documents - Canada'!F:N,9,FALSE)</f>
        <v/>
      </c>
      <c r="F876" s="1" t="s">
        <v>449</v>
      </c>
      <c r="G876" s="4" t="str">
        <f>HYPERLINK("http://nimonikapp.com/legislations/96047","http://nimonikapp.com/legislations/96047")</f>
        <v>http://nimonikapp.com/legislations/96047</v>
      </c>
      <c r="H876" s="1" t="s">
        <v>18</v>
      </c>
      <c r="I876" s="1" t="s">
        <v>452</v>
      </c>
      <c r="J876" s="1" t="s">
        <v>453</v>
      </c>
      <c r="K876" s="5">
        <v>44714.0</v>
      </c>
      <c r="M876" s="5">
        <v>44719.0</v>
      </c>
      <c r="N876" s="1" t="s">
        <v>451</v>
      </c>
    </row>
    <row r="877" hidden="1">
      <c r="A877" s="1" t="s">
        <v>73</v>
      </c>
      <c r="B877" s="1" t="s">
        <v>364</v>
      </c>
      <c r="C877" s="1" t="s">
        <v>2958</v>
      </c>
      <c r="D877" s="1" t="str">
        <f>Vlookup(C877,'Oil &amp; Gas Documents - Canada'!F:M,2,FALSE)</f>
        <v>#N/A</v>
      </c>
      <c r="E877" s="1" t="str">
        <f>Vlookup(C877,'Oil &amp; Gas Documents - Canada'!F:N,9,FALSE)</f>
        <v>#N/A</v>
      </c>
      <c r="F877" s="1" t="s">
        <v>2959</v>
      </c>
      <c r="G877" s="4" t="str">
        <f>HYPERLINK("http://nimonikapp.com/legislations/350694","http://nimonikapp.com/legislations/350694")</f>
        <v>http://nimonikapp.com/legislations/350694</v>
      </c>
      <c r="H877" s="1" t="s">
        <v>356</v>
      </c>
      <c r="I877" s="1" t="s">
        <v>2860</v>
      </c>
      <c r="J877" s="1" t="s">
        <v>2861</v>
      </c>
      <c r="K877" s="5">
        <v>44716.0</v>
      </c>
      <c r="L877" s="5">
        <v>44700.0</v>
      </c>
      <c r="M877" s="5">
        <v>44719.0</v>
      </c>
      <c r="N877" s="1" t="s">
        <v>2960</v>
      </c>
    </row>
    <row r="878" hidden="1">
      <c r="A878" s="1" t="s">
        <v>24</v>
      </c>
      <c r="B878" s="1" t="s">
        <v>25</v>
      </c>
      <c r="C878" s="1" t="s">
        <v>823</v>
      </c>
      <c r="D878" s="1" t="str">
        <f>Vlookup(C878,'Oil &amp; Gas Documents - Canada'!F:M,2,FALSE)</f>
        <v>#N/A</v>
      </c>
      <c r="E878" s="1" t="str">
        <f>Vlookup(C878,'Oil &amp; Gas Documents - Canada'!F:N,9,FALSE)</f>
        <v>#N/A</v>
      </c>
      <c r="F878" s="1" t="s">
        <v>824</v>
      </c>
      <c r="G878" s="4" t="str">
        <f>HYPERLINK("http://nimonikapp.com/legislations/14454","http://nimonikapp.com/legislations/14454")</f>
        <v>http://nimonikapp.com/legislations/14454</v>
      </c>
      <c r="H878" s="1" t="s">
        <v>18</v>
      </c>
      <c r="I878" s="1" t="s">
        <v>2961</v>
      </c>
      <c r="J878" s="1" t="s">
        <v>2962</v>
      </c>
      <c r="K878" s="5">
        <v>44714.0</v>
      </c>
      <c r="L878" s="5">
        <v>44714.0</v>
      </c>
      <c r="M878" s="5">
        <v>44715.0</v>
      </c>
      <c r="N878" s="1" t="s">
        <v>825</v>
      </c>
    </row>
    <row r="879" hidden="1">
      <c r="A879" s="1" t="s">
        <v>24</v>
      </c>
      <c r="B879" s="1" t="s">
        <v>25</v>
      </c>
      <c r="C879" s="1" t="s">
        <v>2963</v>
      </c>
      <c r="D879" s="1" t="str">
        <f>Vlookup(C879,'Oil &amp; Gas Documents - Canada'!F:M,2,FALSE)</f>
        <v>#N/A</v>
      </c>
      <c r="E879" s="1" t="str">
        <f>Vlookup(C879,'Oil &amp; Gas Documents - Canada'!F:N,9,FALSE)</f>
        <v>#N/A</v>
      </c>
      <c r="F879" s="1" t="s">
        <v>2964</v>
      </c>
      <c r="G879" s="4" t="str">
        <f>HYPERLINK("http://nimonikapp.com/legislations/258","http://nimonikapp.com/legislations/258")</f>
        <v>http://nimonikapp.com/legislations/258</v>
      </c>
      <c r="H879" s="1" t="s">
        <v>18</v>
      </c>
      <c r="I879" s="1" t="s">
        <v>2965</v>
      </c>
      <c r="J879" s="1" t="s">
        <v>2966</v>
      </c>
      <c r="K879" s="5">
        <v>44714.0</v>
      </c>
      <c r="L879" s="5">
        <v>43431.0</v>
      </c>
      <c r="M879" s="5">
        <v>44715.0</v>
      </c>
      <c r="N879" s="1" t="s">
        <v>2967</v>
      </c>
    </row>
    <row r="880" hidden="1">
      <c r="A880" s="1" t="s">
        <v>24</v>
      </c>
      <c r="B880" s="1" t="s">
        <v>25</v>
      </c>
      <c r="C880" s="1" t="s">
        <v>2368</v>
      </c>
      <c r="D880" s="1" t="str">
        <f>Vlookup(C880,'Oil &amp; Gas Documents - Canada'!F:M,2,FALSE)</f>
        <v>#N/A</v>
      </c>
      <c r="E880" s="1" t="str">
        <f>Vlookup(C880,'Oil &amp; Gas Documents - Canada'!F:N,9,FALSE)</f>
        <v>#N/A</v>
      </c>
      <c r="F880" s="1" t="s">
        <v>2369</v>
      </c>
      <c r="G880" s="4" t="str">
        <f>HYPERLINK("http://nimonikapp.com/legislations/4091","http://nimonikapp.com/legislations/4091")</f>
        <v>http://nimonikapp.com/legislations/4091</v>
      </c>
      <c r="H880" s="1" t="s">
        <v>18</v>
      </c>
      <c r="I880" s="1" t="s">
        <v>2968</v>
      </c>
      <c r="J880" s="1" t="s">
        <v>2969</v>
      </c>
      <c r="K880" s="5">
        <v>44714.0</v>
      </c>
      <c r="L880" s="5">
        <v>44739.0</v>
      </c>
      <c r="M880" s="5">
        <v>44715.0</v>
      </c>
    </row>
    <row r="881">
      <c r="A881" s="1" t="s">
        <v>24</v>
      </c>
      <c r="B881" s="1" t="s">
        <v>25</v>
      </c>
      <c r="C881" s="1" t="s">
        <v>33</v>
      </c>
      <c r="D881" s="1" t="s">
        <v>26</v>
      </c>
      <c r="E881" s="1" t="str">
        <f>Vlookup(C881,'Oil &amp; Gas Documents - Canada'!F:N,9,FALSE)</f>
        <v>#N/A</v>
      </c>
      <c r="F881" s="1" t="s">
        <v>32</v>
      </c>
      <c r="G881" s="4" t="str">
        <f>HYPERLINK("http://nimonikapp.com/legislations/100","http://nimonikapp.com/legislations/100")</f>
        <v>http://nimonikapp.com/legislations/100</v>
      </c>
      <c r="H881" s="1" t="s">
        <v>18</v>
      </c>
      <c r="I881" s="1" t="s">
        <v>454</v>
      </c>
      <c r="J881" s="1" t="s">
        <v>455</v>
      </c>
      <c r="K881" s="5">
        <v>44714.0</v>
      </c>
      <c r="L881" s="5">
        <v>44805.0</v>
      </c>
      <c r="M881" s="5">
        <v>44715.0</v>
      </c>
      <c r="N881" s="1" t="s">
        <v>29</v>
      </c>
    </row>
    <row r="882" hidden="1">
      <c r="A882" s="1" t="s">
        <v>24</v>
      </c>
      <c r="B882" s="1" t="s">
        <v>25</v>
      </c>
      <c r="C882" s="1" t="s">
        <v>826</v>
      </c>
      <c r="D882" s="1" t="str">
        <f>Vlookup(C882,'Oil &amp; Gas Documents - Canada'!F:M,2,FALSE)</f>
        <v>#N/A</v>
      </c>
      <c r="E882" s="1" t="str">
        <f>Vlookup(C882,'Oil &amp; Gas Documents - Canada'!F:N,9,FALSE)</f>
        <v>#N/A</v>
      </c>
      <c r="F882" s="1" t="s">
        <v>827</v>
      </c>
      <c r="G882" s="4" t="str">
        <f>HYPERLINK("http://nimonikapp.com/legislations/122769","http://nimonikapp.com/legislations/122769")</f>
        <v>http://nimonikapp.com/legislations/122769</v>
      </c>
      <c r="H882" s="1" t="s">
        <v>18</v>
      </c>
      <c r="I882" s="1" t="s">
        <v>2970</v>
      </c>
      <c r="J882" s="1" t="s">
        <v>2971</v>
      </c>
      <c r="K882" s="5">
        <v>44714.0</v>
      </c>
      <c r="L882" s="5">
        <v>44714.0</v>
      </c>
      <c r="M882" s="5">
        <v>44715.0</v>
      </c>
      <c r="N882" s="1" t="s">
        <v>828</v>
      </c>
    </row>
    <row r="883" hidden="1">
      <c r="A883" s="1" t="s">
        <v>24</v>
      </c>
      <c r="B883" s="1" t="s">
        <v>25</v>
      </c>
      <c r="C883" s="1" t="s">
        <v>2711</v>
      </c>
      <c r="D883" s="1" t="str">
        <f>Vlookup(C883,'Oil &amp; Gas Documents - Canada'!F:M,2,FALSE)</f>
        <v>#N/A</v>
      </c>
      <c r="E883" s="1" t="str">
        <f>Vlookup(C883,'Oil &amp; Gas Documents - Canada'!F:N,9,FALSE)</f>
        <v>#N/A</v>
      </c>
      <c r="F883" s="1" t="s">
        <v>2712</v>
      </c>
      <c r="G883" s="4" t="str">
        <f>HYPERLINK("http://nimonikapp.com/legislations/7112","http://nimonikapp.com/legislations/7112")</f>
        <v>http://nimonikapp.com/legislations/7112</v>
      </c>
      <c r="H883" s="1" t="s">
        <v>18</v>
      </c>
      <c r="I883" s="1" t="s">
        <v>2970</v>
      </c>
      <c r="J883" s="1" t="s">
        <v>2971</v>
      </c>
      <c r="K883" s="5">
        <v>44714.0</v>
      </c>
      <c r="L883" s="5">
        <v>44714.0</v>
      </c>
      <c r="M883" s="5">
        <v>44715.0</v>
      </c>
      <c r="N883" s="1" t="s">
        <v>2715</v>
      </c>
    </row>
    <row r="884" hidden="1">
      <c r="A884" s="1" t="s">
        <v>24</v>
      </c>
      <c r="B884" s="1" t="s">
        <v>25</v>
      </c>
      <c r="C884" s="1" t="s">
        <v>826</v>
      </c>
      <c r="D884" s="1" t="str">
        <f>Vlookup(C884,'Oil &amp; Gas Documents - Canada'!F:M,2,FALSE)</f>
        <v>#N/A</v>
      </c>
      <c r="E884" s="1" t="str">
        <f>Vlookup(C884,'Oil &amp; Gas Documents - Canada'!F:N,9,FALSE)</f>
        <v>#N/A</v>
      </c>
      <c r="F884" s="1" t="s">
        <v>827</v>
      </c>
      <c r="G884" s="4" t="str">
        <f>HYPERLINK("http://nimonikapp.com/legislations/122769","http://nimonikapp.com/legislations/122769")</f>
        <v>http://nimonikapp.com/legislations/122769</v>
      </c>
      <c r="H884" s="1" t="s">
        <v>18</v>
      </c>
      <c r="I884" s="1" t="s">
        <v>2972</v>
      </c>
      <c r="J884" s="1" t="s">
        <v>490</v>
      </c>
      <c r="K884" s="5">
        <v>44714.0</v>
      </c>
      <c r="L884" s="5">
        <v>44714.0</v>
      </c>
      <c r="M884" s="5">
        <v>44715.0</v>
      </c>
      <c r="N884" s="1" t="s">
        <v>828</v>
      </c>
    </row>
    <row r="885" hidden="1">
      <c r="A885" s="1" t="s">
        <v>24</v>
      </c>
      <c r="B885" s="1" t="s">
        <v>25</v>
      </c>
      <c r="C885" s="1" t="s">
        <v>2973</v>
      </c>
      <c r="D885" s="1" t="str">
        <f>Vlookup(C885,'Oil &amp; Gas Documents - Canada'!F:M,2,FALSE)</f>
        <v>#N/A</v>
      </c>
      <c r="E885" s="1" t="str">
        <f>Vlookup(C885,'Oil &amp; Gas Documents - Canada'!F:N,9,FALSE)</f>
        <v>#N/A</v>
      </c>
      <c r="F885" s="1" t="s">
        <v>2974</v>
      </c>
      <c r="G885" s="4" t="str">
        <f>HYPERLINK("http://nimonikapp.com/legislations/122770","http://nimonikapp.com/legislations/122770")</f>
        <v>http://nimonikapp.com/legislations/122770</v>
      </c>
      <c r="H885" s="1" t="s">
        <v>18</v>
      </c>
      <c r="I885" s="1" t="s">
        <v>2972</v>
      </c>
      <c r="J885" s="1" t="s">
        <v>490</v>
      </c>
      <c r="K885" s="5">
        <v>44714.0</v>
      </c>
      <c r="L885" s="5">
        <v>44714.0</v>
      </c>
      <c r="M885" s="5">
        <v>44715.0</v>
      </c>
      <c r="N885" s="1" t="s">
        <v>2975</v>
      </c>
    </row>
    <row r="886">
      <c r="A886" s="1" t="s">
        <v>24</v>
      </c>
      <c r="B886" s="1" t="s">
        <v>25</v>
      </c>
      <c r="C886" s="1" t="s">
        <v>37</v>
      </c>
      <c r="D886" s="1" t="s">
        <v>26</v>
      </c>
      <c r="E886" s="1" t="str">
        <f>Vlookup(C886,'Oil &amp; Gas Documents - Canada'!F:N,9,FALSE)</f>
        <v>#N/A</v>
      </c>
      <c r="F886" s="1" t="s">
        <v>36</v>
      </c>
      <c r="G886" s="4" t="str">
        <f>HYPERLINK("http://nimonikapp.com/legislations/6763","http://nimonikapp.com/legislations/6763")</f>
        <v>http://nimonikapp.com/legislations/6763</v>
      </c>
      <c r="H886" s="1" t="s">
        <v>18</v>
      </c>
      <c r="I886" s="1" t="s">
        <v>456</v>
      </c>
      <c r="J886" s="1" t="s">
        <v>457</v>
      </c>
      <c r="K886" s="5">
        <v>44714.0</v>
      </c>
      <c r="L886" s="5">
        <v>44714.0</v>
      </c>
      <c r="M886" s="5">
        <v>44715.0</v>
      </c>
      <c r="N886" s="1" t="s">
        <v>29</v>
      </c>
    </row>
    <row r="887" hidden="1">
      <c r="A887" s="1" t="s">
        <v>24</v>
      </c>
      <c r="B887" s="1" t="s">
        <v>25</v>
      </c>
      <c r="C887" s="1" t="s">
        <v>2976</v>
      </c>
      <c r="D887" s="1" t="str">
        <f>Vlookup(C887,'Oil &amp; Gas Documents - Canada'!F:M,2,FALSE)</f>
        <v>#N/A</v>
      </c>
      <c r="E887" s="1" t="str">
        <f>Vlookup(C887,'Oil &amp; Gas Documents - Canada'!F:N,9,FALSE)</f>
        <v>#N/A</v>
      </c>
      <c r="F887" s="1" t="s">
        <v>2977</v>
      </c>
      <c r="G887" s="4" t="str">
        <f>HYPERLINK("http://nimonikapp.com/legislations/124719","http://nimonikapp.com/legislations/124719")</f>
        <v>http://nimonikapp.com/legislations/124719</v>
      </c>
      <c r="H887" s="1" t="s">
        <v>18</v>
      </c>
      <c r="I887" s="1" t="s">
        <v>456</v>
      </c>
      <c r="J887" s="1" t="s">
        <v>457</v>
      </c>
      <c r="K887" s="5">
        <v>44714.0</v>
      </c>
      <c r="L887" s="5">
        <v>44714.0</v>
      </c>
      <c r="M887" s="5">
        <v>44715.0</v>
      </c>
      <c r="N887" s="1" t="s">
        <v>2978</v>
      </c>
    </row>
    <row r="888">
      <c r="A888" s="1" t="s">
        <v>21</v>
      </c>
      <c r="B888" s="1" t="s">
        <v>25</v>
      </c>
      <c r="C888" s="1" t="s">
        <v>459</v>
      </c>
      <c r="D888" s="1" t="str">
        <f>Vlookup(C888,'Oil &amp; Gas Documents - Canada'!F:M,2,FALSE)</f>
        <v>oil_and_gas, mining_and_minerals_industry</v>
      </c>
      <c r="E888" s="1" t="str">
        <f>Vlookup(C888,'Oil &amp; Gas Documents - Canada'!F:N,9,FALSE)</f>
        <v/>
      </c>
      <c r="F888" s="1" t="s">
        <v>458</v>
      </c>
      <c r="G888" s="4" t="str">
        <f>HYPERLINK("http://nimonikapp.com/legislations/10674","http://nimonikapp.com/legislations/10674")</f>
        <v>http://nimonikapp.com/legislations/10674</v>
      </c>
      <c r="H888" s="1" t="s">
        <v>18</v>
      </c>
      <c r="I888" s="1" t="s">
        <v>460</v>
      </c>
      <c r="J888" s="1" t="s">
        <v>461</v>
      </c>
      <c r="K888" s="5">
        <v>44700.0</v>
      </c>
      <c r="L888" s="5">
        <v>44700.0</v>
      </c>
      <c r="M888" s="5">
        <v>44714.0</v>
      </c>
    </row>
    <row r="889">
      <c r="A889" s="1" t="s">
        <v>21</v>
      </c>
      <c r="B889" s="1" t="s">
        <v>364</v>
      </c>
      <c r="C889" s="1" t="s">
        <v>463</v>
      </c>
      <c r="D889" s="1" t="s">
        <v>26</v>
      </c>
      <c r="E889" s="1" t="str">
        <f>Vlookup(C889,'Oil &amp; Gas Documents - Canada'!F:N,9,FALSE)</f>
        <v>#N/A</v>
      </c>
      <c r="F889" s="1" t="s">
        <v>462</v>
      </c>
      <c r="G889" s="4" t="str">
        <f>HYPERLINK("http://nimonikapp.com/legislations/12266","http://nimonikapp.com/legislations/12266")</f>
        <v>http://nimonikapp.com/legislations/12266</v>
      </c>
      <c r="H889" s="1" t="s">
        <v>356</v>
      </c>
      <c r="I889" s="1" t="s">
        <v>465</v>
      </c>
      <c r="J889" s="1" t="s">
        <v>466</v>
      </c>
      <c r="K889" s="5">
        <v>44642.0</v>
      </c>
      <c r="M889" s="5">
        <v>44713.0</v>
      </c>
      <c r="N889" s="1" t="s">
        <v>464</v>
      </c>
    </row>
    <row r="890" hidden="1">
      <c r="A890" s="1" t="s">
        <v>14</v>
      </c>
      <c r="B890" s="1" t="s">
        <v>25</v>
      </c>
      <c r="C890" s="1" t="s">
        <v>2979</v>
      </c>
      <c r="D890" s="1" t="str">
        <f>Vlookup(C890,'Oil &amp; Gas Documents - Canada'!F:M,2,FALSE)</f>
        <v>#N/A</v>
      </c>
      <c r="E890" s="1" t="str">
        <f>Vlookup(C890,'Oil &amp; Gas Documents - Canada'!F:N,9,FALSE)</f>
        <v>#N/A</v>
      </c>
      <c r="F890" s="1" t="s">
        <v>2980</v>
      </c>
      <c r="G890" s="4" t="str">
        <f>HYPERLINK("http://nimonikapp.com/legislations/3663","http://nimonikapp.com/legislations/3663")</f>
        <v>http://nimonikapp.com/legislations/3663</v>
      </c>
      <c r="H890" s="1" t="s">
        <v>18</v>
      </c>
      <c r="I890" s="1" t="s">
        <v>2981</v>
      </c>
      <c r="J890" s="1" t="s">
        <v>2982</v>
      </c>
      <c r="K890" s="5">
        <v>44708.0</v>
      </c>
      <c r="L890" s="5">
        <v>44652.0</v>
      </c>
      <c r="M890" s="5">
        <v>44713.0</v>
      </c>
      <c r="N890" s="1" t="s">
        <v>2983</v>
      </c>
    </row>
    <row r="891">
      <c r="A891" s="1" t="s">
        <v>21</v>
      </c>
      <c r="B891" s="1" t="s">
        <v>25</v>
      </c>
      <c r="C891" s="1" t="s">
        <v>468</v>
      </c>
      <c r="D891" s="1" t="s">
        <v>26</v>
      </c>
      <c r="E891" s="1" t="str">
        <f>Vlookup(C891,'Oil &amp; Gas Documents - Canada'!F:N,9,FALSE)</f>
        <v>#N/A</v>
      </c>
      <c r="F891" s="1" t="s">
        <v>467</v>
      </c>
      <c r="G891" s="4" t="str">
        <f>HYPERLINK("http://nimonikapp.com/legislations/6226","http://nimonikapp.com/legislations/6226")</f>
        <v>http://nimonikapp.com/legislations/6226</v>
      </c>
      <c r="H891" s="1" t="s">
        <v>18</v>
      </c>
      <c r="I891" s="1" t="s">
        <v>470</v>
      </c>
      <c r="J891" s="1" t="s">
        <v>471</v>
      </c>
      <c r="K891" s="5">
        <v>44712.0</v>
      </c>
      <c r="L891" s="5">
        <v>44805.0</v>
      </c>
      <c r="M891" s="5">
        <v>44713.0</v>
      </c>
      <c r="N891" s="1" t="s">
        <v>469</v>
      </c>
    </row>
    <row r="892" hidden="1">
      <c r="A892" s="1" t="s">
        <v>21</v>
      </c>
      <c r="B892" s="1" t="s">
        <v>25</v>
      </c>
      <c r="C892" s="1" t="s">
        <v>2127</v>
      </c>
      <c r="D892" s="1" t="str">
        <f>Vlookup(C892,'Oil &amp; Gas Documents - Canada'!F:M,2,FALSE)</f>
        <v>#N/A</v>
      </c>
      <c r="E892" s="1" t="str">
        <f>Vlookup(C892,'Oil &amp; Gas Documents - Canada'!F:N,9,FALSE)</f>
        <v>#N/A</v>
      </c>
      <c r="F892" s="1" t="s">
        <v>2128</v>
      </c>
      <c r="G892" s="4" t="str">
        <f>HYPERLINK("http://nimonikapp.com/legislations/6227","http://nimonikapp.com/legislations/6227")</f>
        <v>http://nimonikapp.com/legislations/6227</v>
      </c>
      <c r="H892" s="1" t="s">
        <v>18</v>
      </c>
      <c r="I892" s="1" t="s">
        <v>2984</v>
      </c>
      <c r="J892" s="1" t="s">
        <v>2985</v>
      </c>
      <c r="K892" s="5">
        <v>44712.0</v>
      </c>
      <c r="L892" s="5">
        <v>44685.0</v>
      </c>
      <c r="M892" s="5">
        <v>44713.0</v>
      </c>
      <c r="N892" s="1" t="s">
        <v>2129</v>
      </c>
    </row>
    <row r="893">
      <c r="A893" s="1" t="s">
        <v>21</v>
      </c>
      <c r="B893" s="1" t="s">
        <v>25</v>
      </c>
      <c r="C893" s="1" t="s">
        <v>112</v>
      </c>
      <c r="D893" s="1" t="str">
        <f>Vlookup(C893,'Oil &amp; Gas Documents - Canada'!F:M,2,FALSE)</f>
        <v>general, oil_and_gas, mining_and_minerals_industry</v>
      </c>
      <c r="E893" s="1" t="str">
        <f>Vlookup(C893,'Oil &amp; Gas Documents - Canada'!F:N,9,FALSE)</f>
        <v/>
      </c>
      <c r="F893" s="1" t="s">
        <v>111</v>
      </c>
      <c r="G893" s="4" t="str">
        <f>HYPERLINK("http://nimonikapp.com/legislations/3994","http://nimonikapp.com/legislations/3994")</f>
        <v>http://nimonikapp.com/legislations/3994</v>
      </c>
      <c r="H893" s="1" t="s">
        <v>18</v>
      </c>
      <c r="I893" s="1" t="s">
        <v>472</v>
      </c>
      <c r="J893" s="1" t="s">
        <v>473</v>
      </c>
      <c r="K893" s="5">
        <v>44712.0</v>
      </c>
      <c r="L893" s="5">
        <v>44685.0</v>
      </c>
      <c r="M893" s="5">
        <v>44713.0</v>
      </c>
    </row>
    <row r="894">
      <c r="A894" s="1" t="s">
        <v>21</v>
      </c>
      <c r="B894" s="1" t="s">
        <v>25</v>
      </c>
      <c r="C894" s="1" t="s">
        <v>308</v>
      </c>
      <c r="D894" s="1" t="str">
        <f>Vlookup(C894,'Oil &amp; Gas Documents - Canada'!F:M,2,FALSE)</f>
        <v>oil_and_gas</v>
      </c>
      <c r="E894" s="1" t="str">
        <f>Vlookup(C894,'Oil &amp; Gas Documents - Canada'!F:N,9,FALSE)</f>
        <v/>
      </c>
      <c r="F894" s="1" t="s">
        <v>307</v>
      </c>
      <c r="G894" s="4" t="str">
        <f>HYPERLINK("http://nimonikapp.com/legislations/4045","http://nimonikapp.com/legislations/4045")</f>
        <v>http://nimonikapp.com/legislations/4045</v>
      </c>
      <c r="H894" s="1" t="s">
        <v>18</v>
      </c>
      <c r="I894" s="1" t="s">
        <v>474</v>
      </c>
      <c r="J894" s="1" t="s">
        <v>475</v>
      </c>
      <c r="K894" s="5">
        <v>44713.0</v>
      </c>
      <c r="L894" s="5">
        <v>44713.0</v>
      </c>
      <c r="M894" s="5">
        <v>44713.0</v>
      </c>
      <c r="N894" s="1" t="s">
        <v>309</v>
      </c>
    </row>
    <row r="895" hidden="1">
      <c r="A895" s="1" t="s">
        <v>21</v>
      </c>
      <c r="B895" s="1" t="s">
        <v>25</v>
      </c>
      <c r="C895" s="1" t="s">
        <v>1974</v>
      </c>
      <c r="D895" s="1" t="str">
        <f>Vlookup(C895,'Oil &amp; Gas Documents - Canada'!F:M,2,FALSE)</f>
        <v>#N/A</v>
      </c>
      <c r="E895" s="1" t="str">
        <f>Vlookup(C895,'Oil &amp; Gas Documents - Canada'!F:N,9,FALSE)</f>
        <v>#N/A</v>
      </c>
      <c r="F895" s="1" t="s">
        <v>1975</v>
      </c>
      <c r="G895" s="4" t="str">
        <f>HYPERLINK("http://nimonikapp.com/legislations/94420","http://nimonikapp.com/legislations/94420")</f>
        <v>http://nimonikapp.com/legislations/94420</v>
      </c>
      <c r="H895" s="1" t="s">
        <v>18</v>
      </c>
      <c r="I895" s="1" t="s">
        <v>2986</v>
      </c>
      <c r="J895" s="1" t="s">
        <v>2987</v>
      </c>
      <c r="K895" s="5">
        <v>44712.0</v>
      </c>
      <c r="L895" s="5">
        <v>44692.0</v>
      </c>
      <c r="M895" s="5">
        <v>44713.0</v>
      </c>
      <c r="N895" s="1" t="s">
        <v>1978</v>
      </c>
    </row>
    <row r="896" hidden="1">
      <c r="A896" s="1" t="s">
        <v>21</v>
      </c>
      <c r="B896" s="1" t="s">
        <v>25</v>
      </c>
      <c r="C896" s="1" t="s">
        <v>1294</v>
      </c>
      <c r="D896" s="1" t="str">
        <f>Vlookup(C896,'Oil &amp; Gas Documents - Canada'!F:M,2,FALSE)</f>
        <v>#N/A</v>
      </c>
      <c r="E896" s="1" t="str">
        <f>Vlookup(C896,'Oil &amp; Gas Documents - Canada'!F:N,9,FALSE)</f>
        <v>#N/A</v>
      </c>
      <c r="F896" s="1" t="s">
        <v>1295</v>
      </c>
      <c r="G896" s="4" t="str">
        <f>HYPERLINK("http://nimonikapp.com/legislations/6409","http://nimonikapp.com/legislations/6409")</f>
        <v>http://nimonikapp.com/legislations/6409</v>
      </c>
      <c r="H896" s="1" t="s">
        <v>18</v>
      </c>
      <c r="I896" s="1" t="s">
        <v>2986</v>
      </c>
      <c r="J896" s="1" t="s">
        <v>2987</v>
      </c>
      <c r="K896" s="5">
        <v>44712.0</v>
      </c>
      <c r="L896" s="5">
        <v>44692.0</v>
      </c>
      <c r="M896" s="5">
        <v>44713.0</v>
      </c>
    </row>
    <row r="897" hidden="1">
      <c r="A897" s="1" t="s">
        <v>21</v>
      </c>
      <c r="B897" s="1" t="s">
        <v>25</v>
      </c>
      <c r="C897" s="1" t="s">
        <v>2988</v>
      </c>
      <c r="D897" s="1" t="str">
        <f>Vlookup(C897,'Oil &amp; Gas Documents - Canada'!F:M,2,FALSE)</f>
        <v>#N/A</v>
      </c>
      <c r="E897" s="1" t="str">
        <f>Vlookup(C897,'Oil &amp; Gas Documents - Canada'!F:N,9,FALSE)</f>
        <v>#N/A</v>
      </c>
      <c r="F897" s="1" t="s">
        <v>2989</v>
      </c>
      <c r="G897" s="4" t="str">
        <f>HYPERLINK("http://nimonikapp.com/legislations/118357","http://nimonikapp.com/legislations/118357")</f>
        <v>http://nimonikapp.com/legislations/118357</v>
      </c>
      <c r="H897" s="1" t="s">
        <v>18</v>
      </c>
      <c r="I897" s="1" t="s">
        <v>2986</v>
      </c>
      <c r="J897" s="1" t="s">
        <v>2987</v>
      </c>
      <c r="K897" s="5">
        <v>44712.0</v>
      </c>
      <c r="L897" s="5">
        <v>44692.0</v>
      </c>
      <c r="M897" s="5">
        <v>44713.0</v>
      </c>
    </row>
    <row r="898" hidden="1">
      <c r="A898" s="1" t="s">
        <v>21</v>
      </c>
      <c r="B898" s="1" t="s">
        <v>25</v>
      </c>
      <c r="C898" s="1" t="s">
        <v>2990</v>
      </c>
      <c r="D898" s="1" t="str">
        <f>Vlookup(C898,'Oil &amp; Gas Documents - Canada'!F:M,2,FALSE)</f>
        <v>#N/A</v>
      </c>
      <c r="E898" s="1" t="str">
        <f>Vlookup(C898,'Oil &amp; Gas Documents - Canada'!F:N,9,FALSE)</f>
        <v>#N/A</v>
      </c>
      <c r="F898" s="1" t="s">
        <v>2991</v>
      </c>
      <c r="G898" s="4" t="str">
        <f>HYPERLINK("http://nimonikapp.com/legislations/16155","http://nimonikapp.com/legislations/16155")</f>
        <v>http://nimonikapp.com/legislations/16155</v>
      </c>
      <c r="H898" s="1" t="s">
        <v>18</v>
      </c>
      <c r="I898" s="1" t="s">
        <v>2986</v>
      </c>
      <c r="J898" s="1" t="s">
        <v>2987</v>
      </c>
      <c r="K898" s="5">
        <v>44712.0</v>
      </c>
      <c r="L898" s="5">
        <v>44692.0</v>
      </c>
      <c r="M898" s="5">
        <v>44713.0</v>
      </c>
    </row>
    <row r="899" hidden="1">
      <c r="A899" s="1" t="s">
        <v>21</v>
      </c>
      <c r="B899" s="1" t="s">
        <v>25</v>
      </c>
      <c r="C899" s="1" t="s">
        <v>1963</v>
      </c>
      <c r="D899" s="1" t="str">
        <f>Vlookup(C899,'Oil &amp; Gas Documents - Canada'!F:M,2,FALSE)</f>
        <v>#N/A</v>
      </c>
      <c r="E899" s="1" t="str">
        <f>Vlookup(C899,'Oil &amp; Gas Documents - Canada'!F:N,9,FALSE)</f>
        <v>#N/A</v>
      </c>
      <c r="F899" s="1" t="s">
        <v>1964</v>
      </c>
      <c r="G899" s="4" t="str">
        <f>HYPERLINK("http://nimonikapp.com/legislations/6408","http://nimonikapp.com/legislations/6408")</f>
        <v>http://nimonikapp.com/legislations/6408</v>
      </c>
      <c r="H899" s="1" t="s">
        <v>18</v>
      </c>
      <c r="I899" s="1" t="s">
        <v>2986</v>
      </c>
      <c r="J899" s="1" t="s">
        <v>2987</v>
      </c>
      <c r="K899" s="5">
        <v>44712.0</v>
      </c>
      <c r="L899" s="5">
        <v>44692.0</v>
      </c>
      <c r="M899" s="5">
        <v>44713.0</v>
      </c>
      <c r="N899" s="1" t="s">
        <v>1967</v>
      </c>
    </row>
    <row r="900" hidden="1">
      <c r="A900" s="1" t="s">
        <v>21</v>
      </c>
      <c r="B900" s="1" t="s">
        <v>25</v>
      </c>
      <c r="C900" s="1" t="s">
        <v>1311</v>
      </c>
      <c r="D900" s="1" t="str">
        <f>Vlookup(C900,'Oil &amp; Gas Documents - Canada'!F:M,2,FALSE)</f>
        <v>#N/A</v>
      </c>
      <c r="E900" s="1" t="str">
        <f>Vlookup(C900,'Oil &amp; Gas Documents - Canada'!F:N,9,FALSE)</f>
        <v>#N/A</v>
      </c>
      <c r="F900" s="1" t="s">
        <v>1312</v>
      </c>
      <c r="G900" s="4" t="str">
        <f>HYPERLINK("http://nimonikapp.com/legislations/6393","http://nimonikapp.com/legislations/6393")</f>
        <v>http://nimonikapp.com/legislations/6393</v>
      </c>
      <c r="H900" s="1" t="s">
        <v>18</v>
      </c>
      <c r="I900" s="1" t="s">
        <v>2986</v>
      </c>
      <c r="J900" s="1" t="s">
        <v>2987</v>
      </c>
      <c r="K900" s="5">
        <v>44712.0</v>
      </c>
      <c r="L900" s="5">
        <v>44692.0</v>
      </c>
      <c r="M900" s="5">
        <v>44713.0</v>
      </c>
      <c r="N900" s="1" t="s">
        <v>1313</v>
      </c>
    </row>
    <row r="901" hidden="1">
      <c r="A901" s="1" t="s">
        <v>21</v>
      </c>
      <c r="B901" s="1" t="s">
        <v>25</v>
      </c>
      <c r="C901" s="1" t="s">
        <v>1979</v>
      </c>
      <c r="D901" s="1" t="str">
        <f>Vlookup(C901,'Oil &amp; Gas Documents - Canada'!F:M,2,FALSE)</f>
        <v>#N/A</v>
      </c>
      <c r="E901" s="1" t="str">
        <f>Vlookup(C901,'Oil &amp; Gas Documents - Canada'!F:N,9,FALSE)</f>
        <v>#N/A</v>
      </c>
      <c r="F901" s="1" t="s">
        <v>1980</v>
      </c>
      <c r="G901" s="4" t="str">
        <f>HYPERLINK("http://nimonikapp.com/legislations/116388","http://nimonikapp.com/legislations/116388")</f>
        <v>http://nimonikapp.com/legislations/116388</v>
      </c>
      <c r="H901" s="1" t="s">
        <v>18</v>
      </c>
      <c r="I901" s="1" t="s">
        <v>2986</v>
      </c>
      <c r="J901" s="1" t="s">
        <v>2987</v>
      </c>
      <c r="K901" s="5">
        <v>44712.0</v>
      </c>
      <c r="L901" s="5">
        <v>44692.0</v>
      </c>
      <c r="M901" s="5">
        <v>44713.0</v>
      </c>
      <c r="N901" s="1" t="s">
        <v>1983</v>
      </c>
    </row>
    <row r="902" hidden="1">
      <c r="A902" s="1" t="s">
        <v>21</v>
      </c>
      <c r="B902" s="1" t="s">
        <v>25</v>
      </c>
      <c r="C902" s="1" t="s">
        <v>1299</v>
      </c>
      <c r="D902" s="1" t="str">
        <f>Vlookup(C902,'Oil &amp; Gas Documents - Canada'!F:M,2,FALSE)</f>
        <v>#N/A</v>
      </c>
      <c r="E902" s="1" t="str">
        <f>Vlookup(C902,'Oil &amp; Gas Documents - Canada'!F:N,9,FALSE)</f>
        <v>#N/A</v>
      </c>
      <c r="F902" s="1" t="s">
        <v>1300</v>
      </c>
      <c r="G902" s="4" t="str">
        <f>HYPERLINK("http://nimonikapp.com/legislations/4027","http://nimonikapp.com/legislations/4027")</f>
        <v>http://nimonikapp.com/legislations/4027</v>
      </c>
      <c r="H902" s="1" t="s">
        <v>18</v>
      </c>
      <c r="I902" s="1" t="s">
        <v>2992</v>
      </c>
      <c r="J902" s="1" t="s">
        <v>2993</v>
      </c>
      <c r="K902" s="5">
        <v>44712.0</v>
      </c>
      <c r="L902" s="5">
        <v>44685.0</v>
      </c>
      <c r="M902" s="5">
        <v>44713.0</v>
      </c>
      <c r="N902" s="1" t="s">
        <v>1301</v>
      </c>
    </row>
    <row r="903" hidden="1">
      <c r="A903" s="1" t="s">
        <v>24</v>
      </c>
      <c r="B903" s="1" t="s">
        <v>25</v>
      </c>
      <c r="C903" s="1" t="s">
        <v>1492</v>
      </c>
      <c r="D903" s="1" t="str">
        <f>Vlookup(C903,'Oil &amp; Gas Documents - Canada'!F:M,2,FALSE)</f>
        <v>#N/A</v>
      </c>
      <c r="E903" s="1" t="str">
        <f>Vlookup(C903,'Oil &amp; Gas Documents - Canada'!F:N,9,FALSE)</f>
        <v>#N/A</v>
      </c>
      <c r="F903" s="1" t="s">
        <v>1493</v>
      </c>
      <c r="G903" s="4" t="str">
        <f t="shared" ref="G903:G906" si="20">HYPERLINK("http://nimonikapp.com/legislations/654","http://nimonikapp.com/legislations/654")</f>
        <v>http://nimonikapp.com/legislations/654</v>
      </c>
      <c r="H903" s="1" t="s">
        <v>18</v>
      </c>
      <c r="I903" s="1" t="s">
        <v>2994</v>
      </c>
      <c r="J903" s="1" t="s">
        <v>2995</v>
      </c>
      <c r="K903" s="5">
        <v>44685.0</v>
      </c>
      <c r="L903" s="5">
        <v>44685.0</v>
      </c>
      <c r="M903" s="5">
        <v>44712.0</v>
      </c>
      <c r="N903" s="1" t="s">
        <v>1496</v>
      </c>
    </row>
    <row r="904" hidden="1">
      <c r="A904" s="1" t="s">
        <v>24</v>
      </c>
      <c r="B904" s="1" t="s">
        <v>25</v>
      </c>
      <c r="C904" s="1" t="s">
        <v>1492</v>
      </c>
      <c r="D904" s="1" t="str">
        <f>Vlookup(C904,'Oil &amp; Gas Documents - Canada'!F:M,2,FALSE)</f>
        <v>#N/A</v>
      </c>
      <c r="E904" s="1" t="str">
        <f>Vlookup(C904,'Oil &amp; Gas Documents - Canada'!F:N,9,FALSE)</f>
        <v>#N/A</v>
      </c>
      <c r="F904" s="1" t="s">
        <v>1493</v>
      </c>
      <c r="G904" s="4" t="str">
        <f t="shared" si="20"/>
        <v>http://nimonikapp.com/legislations/654</v>
      </c>
      <c r="H904" s="1" t="s">
        <v>18</v>
      </c>
      <c r="I904" s="1" t="s">
        <v>2996</v>
      </c>
      <c r="J904" s="1" t="s">
        <v>2997</v>
      </c>
      <c r="K904" s="5">
        <v>44644.0</v>
      </c>
      <c r="L904" s="5">
        <v>44650.0</v>
      </c>
      <c r="M904" s="5">
        <v>44712.0</v>
      </c>
      <c r="N904" s="1" t="s">
        <v>1496</v>
      </c>
    </row>
    <row r="905" hidden="1">
      <c r="A905" s="1" t="s">
        <v>24</v>
      </c>
      <c r="B905" s="1" t="s">
        <v>25</v>
      </c>
      <c r="C905" s="1" t="s">
        <v>1492</v>
      </c>
      <c r="D905" s="1" t="str">
        <f>Vlookup(C905,'Oil &amp; Gas Documents - Canada'!F:M,2,FALSE)</f>
        <v>#N/A</v>
      </c>
      <c r="E905" s="1" t="str">
        <f>Vlookup(C905,'Oil &amp; Gas Documents - Canada'!F:N,9,FALSE)</f>
        <v>#N/A</v>
      </c>
      <c r="F905" s="1" t="s">
        <v>1493</v>
      </c>
      <c r="G905" s="4" t="str">
        <f t="shared" si="20"/>
        <v>http://nimonikapp.com/legislations/654</v>
      </c>
      <c r="H905" s="1" t="s">
        <v>18</v>
      </c>
      <c r="I905" s="1" t="s">
        <v>2998</v>
      </c>
      <c r="J905" s="1" t="s">
        <v>2999</v>
      </c>
      <c r="K905" s="5">
        <v>44614.0</v>
      </c>
      <c r="L905" s="5">
        <v>44614.0</v>
      </c>
      <c r="M905" s="5">
        <v>44712.0</v>
      </c>
      <c r="N905" s="1" t="s">
        <v>1496</v>
      </c>
    </row>
    <row r="906" hidden="1">
      <c r="A906" s="1" t="s">
        <v>24</v>
      </c>
      <c r="B906" s="1" t="s">
        <v>25</v>
      </c>
      <c r="C906" s="1" t="s">
        <v>1492</v>
      </c>
      <c r="D906" s="1" t="str">
        <f>Vlookup(C906,'Oil &amp; Gas Documents - Canada'!F:M,2,FALSE)</f>
        <v>#N/A</v>
      </c>
      <c r="E906" s="1" t="str">
        <f>Vlookup(C906,'Oil &amp; Gas Documents - Canada'!F:N,9,FALSE)</f>
        <v>#N/A</v>
      </c>
      <c r="F906" s="1" t="s">
        <v>1493</v>
      </c>
      <c r="G906" s="4" t="str">
        <f t="shared" si="20"/>
        <v>http://nimonikapp.com/legislations/654</v>
      </c>
      <c r="H906" s="1" t="s">
        <v>18</v>
      </c>
      <c r="I906" s="1" t="s">
        <v>3000</v>
      </c>
      <c r="J906" s="1" t="s">
        <v>3001</v>
      </c>
      <c r="K906" s="5">
        <v>44545.0</v>
      </c>
      <c r="L906" s="5">
        <v>44545.0</v>
      </c>
      <c r="M906" s="5">
        <v>44712.0</v>
      </c>
      <c r="N906" s="1" t="s">
        <v>1496</v>
      </c>
    </row>
    <row r="907" hidden="1">
      <c r="A907" s="1" t="s">
        <v>73</v>
      </c>
      <c r="B907" s="1" t="s">
        <v>15</v>
      </c>
      <c r="C907" s="1" t="s">
        <v>3002</v>
      </c>
      <c r="D907" s="1" t="str">
        <f>Vlookup(C907,'Oil &amp; Gas Documents - Canada'!F:M,2,FALSE)</f>
        <v>#N/A</v>
      </c>
      <c r="E907" s="1" t="str">
        <f>Vlookup(C907,'Oil &amp; Gas Documents - Canada'!F:N,9,FALSE)</f>
        <v>#N/A</v>
      </c>
      <c r="F907" s="1" t="s">
        <v>3003</v>
      </c>
      <c r="G907" s="4" t="str">
        <f>HYPERLINK("http://nimonikapp.com/legislations/351503","http://nimonikapp.com/legislations/351503")</f>
        <v>http://nimonikapp.com/legislations/351503</v>
      </c>
      <c r="H907" s="1" t="s">
        <v>18</v>
      </c>
      <c r="K907" s="5">
        <v>44709.0</v>
      </c>
      <c r="L907" s="5">
        <v>44698.0</v>
      </c>
      <c r="M907" s="5">
        <v>44711.0</v>
      </c>
    </row>
    <row r="908" hidden="1">
      <c r="A908" s="1" t="s">
        <v>73</v>
      </c>
      <c r="B908" s="1" t="s">
        <v>15</v>
      </c>
      <c r="C908" s="1" t="s">
        <v>3004</v>
      </c>
      <c r="D908" s="1" t="str">
        <f>Vlookup(C908,'Oil &amp; Gas Documents - Canada'!F:M,2,FALSE)</f>
        <v>#N/A</v>
      </c>
      <c r="E908" s="1" t="str">
        <f>Vlookup(C908,'Oil &amp; Gas Documents - Canada'!F:N,9,FALSE)</f>
        <v>#N/A</v>
      </c>
      <c r="F908" s="1" t="s">
        <v>3005</v>
      </c>
      <c r="G908" s="4" t="str">
        <f>HYPERLINK("http://nimonikapp.com/legislations/351493","http://nimonikapp.com/legislations/351493")</f>
        <v>http://nimonikapp.com/legislations/351493</v>
      </c>
      <c r="H908" s="1" t="s">
        <v>516</v>
      </c>
      <c r="K908" s="5">
        <v>44709.0</v>
      </c>
      <c r="M908" s="5">
        <v>44711.0</v>
      </c>
    </row>
    <row r="909" hidden="1">
      <c r="A909" s="1" t="s">
        <v>73</v>
      </c>
      <c r="B909" s="1" t="s">
        <v>15</v>
      </c>
      <c r="C909" s="1" t="s">
        <v>3006</v>
      </c>
      <c r="D909" s="1" t="str">
        <f>Vlookup(C909,'Oil &amp; Gas Documents - Canada'!F:M,2,FALSE)</f>
        <v>#N/A</v>
      </c>
      <c r="E909" s="1" t="str">
        <f>Vlookup(C909,'Oil &amp; Gas Documents - Canada'!F:N,9,FALSE)</f>
        <v>#N/A</v>
      </c>
      <c r="F909" s="1" t="s">
        <v>3007</v>
      </c>
      <c r="G909" s="4" t="str">
        <f>HYPERLINK("http://nimonikapp.com/legislations/351492","http://nimonikapp.com/legislations/351492")</f>
        <v>http://nimonikapp.com/legislations/351492</v>
      </c>
      <c r="H909" s="1" t="s">
        <v>516</v>
      </c>
      <c r="K909" s="5">
        <v>44709.0</v>
      </c>
      <c r="M909" s="5">
        <v>44711.0</v>
      </c>
    </row>
    <row r="910" hidden="1">
      <c r="A910" s="1" t="s">
        <v>99</v>
      </c>
      <c r="B910" s="1" t="s">
        <v>25</v>
      </c>
      <c r="C910" s="1" t="s">
        <v>1591</v>
      </c>
      <c r="D910" s="1" t="str">
        <f>Vlookup(C910,'Oil &amp; Gas Documents - Canada'!F:M,2,FALSE)</f>
        <v>#N/A</v>
      </c>
      <c r="E910" s="1" t="str">
        <f>Vlookup(C910,'Oil &amp; Gas Documents - Canada'!F:N,9,FALSE)</f>
        <v>#N/A</v>
      </c>
      <c r="F910" s="1" t="s">
        <v>1592</v>
      </c>
      <c r="G910" s="4" t="str">
        <f>HYPERLINK("http://nimonikapp.com/legislations/1530","http://nimonikapp.com/legislations/1530")</f>
        <v>http://nimonikapp.com/legislations/1530</v>
      </c>
      <c r="H910" s="1" t="s">
        <v>18</v>
      </c>
      <c r="I910" s="1" t="s">
        <v>3008</v>
      </c>
      <c r="J910" s="1" t="s">
        <v>1594</v>
      </c>
      <c r="K910" s="5">
        <v>44701.0</v>
      </c>
      <c r="L910" s="5">
        <v>44701.0</v>
      </c>
      <c r="M910" s="5">
        <v>44711.0</v>
      </c>
      <c r="N910" s="1" t="s">
        <v>1595</v>
      </c>
    </row>
    <row r="911">
      <c r="A911" s="1" t="s">
        <v>14</v>
      </c>
      <c r="B911" s="1" t="s">
        <v>25</v>
      </c>
      <c r="C911" s="1" t="s">
        <v>477</v>
      </c>
      <c r="D911" s="1" t="s">
        <v>26</v>
      </c>
      <c r="E911" s="1" t="str">
        <f>Vlookup(C911,'Oil &amp; Gas Documents - Canada'!F:N,9,FALSE)</f>
        <v>#N/A</v>
      </c>
      <c r="F911" s="1" t="s">
        <v>476</v>
      </c>
      <c r="G911" s="4" t="str">
        <f>HYPERLINK("http://nimonikapp.com/legislations/123010","http://nimonikapp.com/legislations/123010")</f>
        <v>http://nimonikapp.com/legislations/123010</v>
      </c>
      <c r="H911" s="1" t="s">
        <v>18</v>
      </c>
      <c r="I911" s="1" t="s">
        <v>479</v>
      </c>
      <c r="J911" s="1" t="s">
        <v>480</v>
      </c>
      <c r="K911" s="5">
        <v>44701.0</v>
      </c>
      <c r="L911" s="5">
        <v>44692.0</v>
      </c>
      <c r="M911" s="5">
        <v>44711.0</v>
      </c>
      <c r="N911" s="1" t="s">
        <v>478</v>
      </c>
    </row>
    <row r="912" hidden="1">
      <c r="A912" s="1" t="s">
        <v>24</v>
      </c>
      <c r="B912" s="1" t="s">
        <v>15</v>
      </c>
      <c r="C912" s="1" t="s">
        <v>3009</v>
      </c>
      <c r="D912" s="1" t="str">
        <f>Vlookup(C912,'Oil &amp; Gas Documents - Canada'!F:M,2,FALSE)</f>
        <v>#N/A</v>
      </c>
      <c r="E912" s="1" t="str">
        <f>Vlookup(C912,'Oil &amp; Gas Documents - Canada'!F:N,9,FALSE)</f>
        <v>#N/A</v>
      </c>
      <c r="F912" s="1" t="s">
        <v>3010</v>
      </c>
      <c r="G912" s="4" t="str">
        <f>HYPERLINK("http://nimonikapp.com/legislations/351209","http://nimonikapp.com/legislations/351209")</f>
        <v>http://nimonikapp.com/legislations/351209</v>
      </c>
      <c r="H912" s="1" t="s">
        <v>516</v>
      </c>
      <c r="K912" s="5">
        <v>44706.0</v>
      </c>
      <c r="M912" s="5">
        <v>44708.0</v>
      </c>
    </row>
    <row r="913" hidden="1">
      <c r="A913" s="1" t="s">
        <v>66</v>
      </c>
      <c r="B913" s="1" t="s">
        <v>25</v>
      </c>
      <c r="C913" s="1" t="s">
        <v>1284</v>
      </c>
      <c r="D913" s="1" t="str">
        <f>Vlookup(C913,'Oil &amp; Gas Documents - Canada'!F:M,2,FALSE)</f>
        <v>#N/A</v>
      </c>
      <c r="E913" s="1" t="str">
        <f>Vlookup(C913,'Oil &amp; Gas Documents - Canada'!F:N,9,FALSE)</f>
        <v>#N/A</v>
      </c>
      <c r="F913" s="1" t="s">
        <v>1285</v>
      </c>
      <c r="G913" s="4" t="str">
        <f>HYPERLINK("http://nimonikapp.com/legislations/7129","http://nimonikapp.com/legislations/7129")</f>
        <v>http://nimonikapp.com/legislations/7129</v>
      </c>
      <c r="H913" s="1" t="s">
        <v>18</v>
      </c>
      <c r="I913" s="1" t="s">
        <v>3011</v>
      </c>
      <c r="J913" s="1" t="s">
        <v>3012</v>
      </c>
      <c r="K913" s="5">
        <v>44701.0</v>
      </c>
      <c r="L913" s="5">
        <v>44701.0</v>
      </c>
      <c r="M913" s="5">
        <v>44708.0</v>
      </c>
      <c r="N913" s="1" t="s">
        <v>1288</v>
      </c>
    </row>
    <row r="914" hidden="1">
      <c r="A914" s="1" t="s">
        <v>24</v>
      </c>
      <c r="B914" s="1" t="s">
        <v>25</v>
      </c>
      <c r="C914" s="1" t="s">
        <v>3013</v>
      </c>
      <c r="D914" s="1" t="str">
        <f>Vlookup(C914,'Oil &amp; Gas Documents - Canada'!F:M,2,FALSE)</f>
        <v>#N/A</v>
      </c>
      <c r="E914" s="1" t="str">
        <f>Vlookup(C914,'Oil &amp; Gas Documents - Canada'!F:N,9,FALSE)</f>
        <v>#N/A</v>
      </c>
      <c r="F914" s="1" t="s">
        <v>3014</v>
      </c>
      <c r="G914" s="4" t="str">
        <f>HYPERLINK("http://nimonikapp.com/legislations/1244","http://nimonikapp.com/legislations/1244")</f>
        <v>http://nimonikapp.com/legislations/1244</v>
      </c>
      <c r="H914" s="1" t="s">
        <v>18</v>
      </c>
      <c r="I914" s="1" t="s">
        <v>3015</v>
      </c>
      <c r="J914" s="1" t="s">
        <v>3016</v>
      </c>
      <c r="K914" s="5">
        <v>44705.0</v>
      </c>
      <c r="L914" s="5">
        <v>44743.0</v>
      </c>
      <c r="M914" s="5">
        <v>44708.0</v>
      </c>
      <c r="N914" s="1" t="s">
        <v>3017</v>
      </c>
    </row>
    <row r="915" hidden="1">
      <c r="A915" s="1" t="s">
        <v>24</v>
      </c>
      <c r="B915" s="1" t="s">
        <v>25</v>
      </c>
      <c r="C915" s="1" t="s">
        <v>2363</v>
      </c>
      <c r="D915" s="1" t="str">
        <f>Vlookup(C915,'Oil &amp; Gas Documents - Canada'!F:M,2,FALSE)</f>
        <v>#N/A</v>
      </c>
      <c r="E915" s="1" t="str">
        <f>Vlookup(C915,'Oil &amp; Gas Documents - Canada'!F:N,9,FALSE)</f>
        <v>#N/A</v>
      </c>
      <c r="F915" s="1" t="s">
        <v>2364</v>
      </c>
      <c r="G915" s="4" t="str">
        <f>HYPERLINK("http://nimonikapp.com/legislations/117063","http://nimonikapp.com/legislations/117063")</f>
        <v>http://nimonikapp.com/legislations/117063</v>
      </c>
      <c r="H915" s="1" t="s">
        <v>18</v>
      </c>
      <c r="I915" s="1" t="s">
        <v>3018</v>
      </c>
      <c r="J915" s="1" t="s">
        <v>3019</v>
      </c>
      <c r="K915" s="5">
        <v>44705.0</v>
      </c>
      <c r="L915" s="5">
        <v>44701.0</v>
      </c>
      <c r="M915" s="5">
        <v>44708.0</v>
      </c>
      <c r="N915" s="1" t="s">
        <v>2365</v>
      </c>
    </row>
    <row r="916" hidden="1">
      <c r="A916" s="1" t="s">
        <v>24</v>
      </c>
      <c r="B916" s="1" t="s">
        <v>25</v>
      </c>
      <c r="C916" s="1" t="s">
        <v>2351</v>
      </c>
      <c r="D916" s="1" t="str">
        <f>Vlookup(C916,'Oil &amp; Gas Documents - Canada'!F:M,2,FALSE)</f>
        <v>#N/A</v>
      </c>
      <c r="E916" s="1" t="str">
        <f>Vlookup(C916,'Oil &amp; Gas Documents - Canada'!F:N,9,FALSE)</f>
        <v>#N/A</v>
      </c>
      <c r="F916" s="1" t="s">
        <v>2352</v>
      </c>
      <c r="G916" s="4" t="str">
        <f>HYPERLINK("http://nimonikapp.com/legislations/117062","http://nimonikapp.com/legislations/117062")</f>
        <v>http://nimonikapp.com/legislations/117062</v>
      </c>
      <c r="H916" s="1" t="s">
        <v>18</v>
      </c>
      <c r="I916" s="1" t="s">
        <v>3018</v>
      </c>
      <c r="J916" s="1" t="s">
        <v>3019</v>
      </c>
      <c r="K916" s="5">
        <v>44705.0</v>
      </c>
      <c r="L916" s="5">
        <v>44701.0</v>
      </c>
      <c r="M916" s="5">
        <v>44708.0</v>
      </c>
      <c r="N916" s="1" t="s">
        <v>2353</v>
      </c>
    </row>
    <row r="917" hidden="1">
      <c r="A917" s="1" t="s">
        <v>73</v>
      </c>
      <c r="B917" s="1" t="s">
        <v>15</v>
      </c>
      <c r="C917" s="1" t="s">
        <v>3020</v>
      </c>
      <c r="D917" s="1" t="str">
        <f>Vlookup(C917,'Oil &amp; Gas Documents - Canada'!F:M,2,FALSE)</f>
        <v>#N/A</v>
      </c>
      <c r="E917" s="1" t="str">
        <f>Vlookup(C917,'Oil &amp; Gas Documents - Canada'!F:N,9,FALSE)</f>
        <v>#N/A</v>
      </c>
      <c r="F917" s="1" t="s">
        <v>3021</v>
      </c>
      <c r="G917" s="4" t="str">
        <f>HYPERLINK("http://nimonikapp.com/legislations/350905","http://nimonikapp.com/legislations/350905")</f>
        <v>http://nimonikapp.com/legislations/350905</v>
      </c>
      <c r="H917" s="1" t="s">
        <v>18</v>
      </c>
      <c r="K917" s="5">
        <v>44706.0</v>
      </c>
      <c r="L917" s="5">
        <v>44687.0</v>
      </c>
      <c r="M917" s="5">
        <v>44707.0</v>
      </c>
    </row>
    <row r="918" hidden="1">
      <c r="A918" s="1" t="s">
        <v>73</v>
      </c>
      <c r="B918" s="1" t="s">
        <v>25</v>
      </c>
      <c r="C918" s="1" t="s">
        <v>3022</v>
      </c>
      <c r="D918" s="1" t="str">
        <f>Vlookup(C918,'Oil &amp; Gas Documents - Canada'!F:M,2,FALSE)</f>
        <v>#N/A</v>
      </c>
      <c r="E918" s="1" t="str">
        <f>Vlookup(C918,'Oil &amp; Gas Documents - Canada'!F:N,9,FALSE)</f>
        <v>#N/A</v>
      </c>
      <c r="F918" s="1" t="s">
        <v>3023</v>
      </c>
      <c r="G918" s="4" t="str">
        <f>HYPERLINK("http://nimonikapp.com/legislations/970","http://nimonikapp.com/legislations/970")</f>
        <v>http://nimonikapp.com/legislations/970</v>
      </c>
      <c r="H918" s="1" t="s">
        <v>18</v>
      </c>
      <c r="I918" s="1" t="s">
        <v>3024</v>
      </c>
      <c r="J918" s="1" t="s">
        <v>3025</v>
      </c>
      <c r="K918" s="5">
        <v>44706.0</v>
      </c>
      <c r="L918" s="5">
        <v>44720.0</v>
      </c>
      <c r="M918" s="5">
        <v>44707.0</v>
      </c>
      <c r="N918" s="1" t="s">
        <v>3026</v>
      </c>
    </row>
    <row r="919" hidden="1">
      <c r="A919" s="1" t="s">
        <v>73</v>
      </c>
      <c r="B919" s="1" t="s">
        <v>25</v>
      </c>
      <c r="C919" s="1" t="s">
        <v>1045</v>
      </c>
      <c r="D919" s="1" t="str">
        <f>Vlookup(C919,'Oil &amp; Gas Documents - Canada'!F:M,2,FALSE)</f>
        <v>#N/A</v>
      </c>
      <c r="E919" s="1" t="str">
        <f>Vlookup(C919,'Oil &amp; Gas Documents - Canada'!F:N,9,FALSE)</f>
        <v>#N/A</v>
      </c>
      <c r="F919" s="1" t="s">
        <v>1046</v>
      </c>
      <c r="G919" s="4" t="str">
        <f t="shared" ref="G919:G920" si="21">HYPERLINK("http://nimonikapp.com/legislations/321966","http://nimonikapp.com/legislations/321966")</f>
        <v>http://nimonikapp.com/legislations/321966</v>
      </c>
      <c r="H919" s="1" t="s">
        <v>18</v>
      </c>
      <c r="I919" s="1" t="s">
        <v>3027</v>
      </c>
      <c r="J919" s="1" t="s">
        <v>1048</v>
      </c>
      <c r="K919" s="5">
        <v>44706.0</v>
      </c>
      <c r="L919" s="5">
        <v>44684.0</v>
      </c>
      <c r="M919" s="5">
        <v>44707.0</v>
      </c>
      <c r="N919" s="1" t="s">
        <v>1049</v>
      </c>
    </row>
    <row r="920" hidden="1">
      <c r="A920" s="1" t="s">
        <v>73</v>
      </c>
      <c r="B920" s="1" t="s">
        <v>25</v>
      </c>
      <c r="C920" s="1" t="s">
        <v>1045</v>
      </c>
      <c r="D920" s="1" t="str">
        <f>Vlookup(C920,'Oil &amp; Gas Documents - Canada'!F:M,2,FALSE)</f>
        <v>#N/A</v>
      </c>
      <c r="E920" s="1" t="str">
        <f>Vlookup(C920,'Oil &amp; Gas Documents - Canada'!F:N,9,FALSE)</f>
        <v>#N/A</v>
      </c>
      <c r="F920" s="1" t="s">
        <v>1046</v>
      </c>
      <c r="G920" s="4" t="str">
        <f t="shared" si="21"/>
        <v>http://nimonikapp.com/legislations/321966</v>
      </c>
      <c r="H920" s="1" t="s">
        <v>18</v>
      </c>
      <c r="I920" s="1" t="s">
        <v>3028</v>
      </c>
      <c r="J920" s="1" t="s">
        <v>1048</v>
      </c>
      <c r="K920" s="5">
        <v>44706.0</v>
      </c>
      <c r="L920" s="5">
        <v>44687.0</v>
      </c>
      <c r="M920" s="5">
        <v>44707.0</v>
      </c>
      <c r="N920" s="1" t="s">
        <v>1049</v>
      </c>
    </row>
    <row r="921" hidden="1">
      <c r="A921" s="1" t="s">
        <v>202</v>
      </c>
      <c r="B921" s="1" t="s">
        <v>25</v>
      </c>
      <c r="C921" s="1" t="s">
        <v>3029</v>
      </c>
      <c r="D921" s="1" t="str">
        <f>Vlookup(C921,'Oil &amp; Gas Documents - Canada'!F:M,2,FALSE)</f>
        <v>#N/A</v>
      </c>
      <c r="E921" s="1" t="str">
        <f>Vlookup(C921,'Oil &amp; Gas Documents - Canada'!F:N,9,FALSE)</f>
        <v>#N/A</v>
      </c>
      <c r="F921" s="1" t="s">
        <v>3030</v>
      </c>
      <c r="G921" s="4" t="str">
        <f>HYPERLINK("http://nimonikapp.com/legislations/39","http://nimonikapp.com/legislations/39")</f>
        <v>http://nimonikapp.com/legislations/39</v>
      </c>
      <c r="H921" s="1" t="s">
        <v>18</v>
      </c>
      <c r="I921" s="1" t="s">
        <v>484</v>
      </c>
      <c r="J921" s="1" t="s">
        <v>485</v>
      </c>
      <c r="K921" s="5">
        <v>44663.0</v>
      </c>
      <c r="L921" s="5">
        <v>44693.0</v>
      </c>
      <c r="M921" s="5">
        <v>44706.0</v>
      </c>
      <c r="N921" s="1" t="s">
        <v>3031</v>
      </c>
    </row>
    <row r="922" hidden="1">
      <c r="A922" s="1" t="s">
        <v>202</v>
      </c>
      <c r="B922" s="1" t="s">
        <v>25</v>
      </c>
      <c r="C922" s="1" t="s">
        <v>1672</v>
      </c>
      <c r="D922" s="1" t="str">
        <f>Vlookup(C922,'Oil &amp; Gas Documents - Canada'!F:M,2,FALSE)</f>
        <v>#N/A</v>
      </c>
      <c r="E922" s="1" t="str">
        <f>Vlookup(C922,'Oil &amp; Gas Documents - Canada'!F:N,9,FALSE)</f>
        <v>#N/A</v>
      </c>
      <c r="F922" s="1" t="s">
        <v>1673</v>
      </c>
      <c r="G922" s="4" t="str">
        <f>HYPERLINK("http://nimonikapp.com/legislations/2","http://nimonikapp.com/legislations/2")</f>
        <v>http://nimonikapp.com/legislations/2</v>
      </c>
      <c r="H922" s="1" t="s">
        <v>18</v>
      </c>
      <c r="I922" s="1" t="s">
        <v>484</v>
      </c>
      <c r="J922" s="1" t="s">
        <v>485</v>
      </c>
      <c r="K922" s="5">
        <v>44663.0</v>
      </c>
      <c r="L922" s="5">
        <v>44693.0</v>
      </c>
      <c r="M922" s="5">
        <v>44706.0</v>
      </c>
      <c r="N922" s="1" t="s">
        <v>1676</v>
      </c>
    </row>
    <row r="923" hidden="1">
      <c r="A923" s="1" t="s">
        <v>202</v>
      </c>
      <c r="B923" s="1" t="s">
        <v>25</v>
      </c>
      <c r="C923" s="1" t="s">
        <v>1659</v>
      </c>
      <c r="D923" s="1" t="str">
        <f>Vlookup(C923,'Oil &amp; Gas Documents - Canada'!F:M,2,FALSE)</f>
        <v>#N/A</v>
      </c>
      <c r="E923" s="1" t="str">
        <f>Vlookup(C923,'Oil &amp; Gas Documents - Canada'!F:N,9,FALSE)</f>
        <v>#N/A</v>
      </c>
      <c r="F923" s="1" t="s">
        <v>1660</v>
      </c>
      <c r="G923" s="4" t="str">
        <f>HYPERLINK("http://nimonikapp.com/legislations/268529","http://nimonikapp.com/legislations/268529")</f>
        <v>http://nimonikapp.com/legislations/268529</v>
      </c>
      <c r="H923" s="1" t="s">
        <v>18</v>
      </c>
      <c r="I923" s="1" t="s">
        <v>484</v>
      </c>
      <c r="J923" s="1" t="s">
        <v>485</v>
      </c>
      <c r="K923" s="5">
        <v>44663.0</v>
      </c>
      <c r="L923" s="5">
        <v>44693.0</v>
      </c>
      <c r="M923" s="5">
        <v>44706.0</v>
      </c>
      <c r="N923" s="1" t="s">
        <v>1661</v>
      </c>
    </row>
    <row r="924" hidden="1">
      <c r="A924" s="1" t="s">
        <v>202</v>
      </c>
      <c r="B924" s="1" t="s">
        <v>25</v>
      </c>
      <c r="C924" s="1" t="s">
        <v>3032</v>
      </c>
      <c r="D924" s="1" t="str">
        <f>Vlookup(C924,'Oil &amp; Gas Documents - Canada'!F:M,2,FALSE)</f>
        <v>#N/A</v>
      </c>
      <c r="E924" s="1" t="str">
        <f>Vlookup(C924,'Oil &amp; Gas Documents - Canada'!F:N,9,FALSE)</f>
        <v>#N/A</v>
      </c>
      <c r="F924" s="1" t="s">
        <v>3033</v>
      </c>
      <c r="G924" s="4" t="str">
        <f>HYPERLINK("http://nimonikapp.com/legislations/31","http://nimonikapp.com/legislations/31")</f>
        <v>http://nimonikapp.com/legislations/31</v>
      </c>
      <c r="H924" s="1" t="s">
        <v>18</v>
      </c>
      <c r="I924" s="1" t="s">
        <v>484</v>
      </c>
      <c r="J924" s="1" t="s">
        <v>485</v>
      </c>
      <c r="K924" s="5">
        <v>44663.0</v>
      </c>
      <c r="L924" s="5">
        <v>44693.0</v>
      </c>
      <c r="M924" s="5">
        <v>44706.0</v>
      </c>
      <c r="N924" s="1" t="s">
        <v>3034</v>
      </c>
    </row>
    <row r="925" hidden="1">
      <c r="A925" s="1" t="s">
        <v>202</v>
      </c>
      <c r="B925" s="1" t="s">
        <v>25</v>
      </c>
      <c r="C925" s="1" t="s">
        <v>3035</v>
      </c>
      <c r="D925" s="1" t="str">
        <f>Vlookup(C925,'Oil &amp; Gas Documents - Canada'!F:M,2,FALSE)</f>
        <v>#N/A</v>
      </c>
      <c r="E925" s="1" t="str">
        <f>Vlookup(C925,'Oil &amp; Gas Documents - Canada'!F:N,9,FALSE)</f>
        <v>#N/A</v>
      </c>
      <c r="F925" s="1" t="s">
        <v>3036</v>
      </c>
      <c r="G925" s="4" t="str">
        <f>HYPERLINK("http://nimonikapp.com/legislations/549","http://nimonikapp.com/legislations/549")</f>
        <v>http://nimonikapp.com/legislations/549</v>
      </c>
      <c r="H925" s="1" t="s">
        <v>18</v>
      </c>
      <c r="I925" s="1" t="s">
        <v>484</v>
      </c>
      <c r="J925" s="1" t="s">
        <v>485</v>
      </c>
      <c r="K925" s="5">
        <v>44663.0</v>
      </c>
      <c r="L925" s="5">
        <v>44693.0</v>
      </c>
      <c r="M925" s="5">
        <v>44706.0</v>
      </c>
      <c r="N925" s="1" t="s">
        <v>3037</v>
      </c>
    </row>
    <row r="926" hidden="1">
      <c r="A926" s="1" t="s">
        <v>202</v>
      </c>
      <c r="B926" s="1" t="s">
        <v>25</v>
      </c>
      <c r="C926" s="1" t="s">
        <v>3038</v>
      </c>
      <c r="D926" s="1" t="str">
        <f>Vlookup(C926,'Oil &amp; Gas Documents - Canada'!F:M,2,FALSE)</f>
        <v>#N/A</v>
      </c>
      <c r="E926" s="1" t="str">
        <f>Vlookup(C926,'Oil &amp; Gas Documents - Canada'!F:N,9,FALSE)</f>
        <v>#N/A</v>
      </c>
      <c r="F926" s="1" t="s">
        <v>3039</v>
      </c>
      <c r="G926" s="4" t="str">
        <f>HYPERLINK("http://nimonikapp.com/legislations/17","http://nimonikapp.com/legislations/17")</f>
        <v>http://nimonikapp.com/legislations/17</v>
      </c>
      <c r="H926" s="1" t="s">
        <v>18</v>
      </c>
      <c r="I926" s="1" t="s">
        <v>484</v>
      </c>
      <c r="J926" s="1" t="s">
        <v>485</v>
      </c>
      <c r="K926" s="5">
        <v>44663.0</v>
      </c>
      <c r="L926" s="5">
        <v>44693.0</v>
      </c>
      <c r="M926" s="5">
        <v>44706.0</v>
      </c>
      <c r="N926" s="1" t="s">
        <v>3040</v>
      </c>
    </row>
    <row r="927" hidden="1">
      <c r="A927" s="1" t="s">
        <v>202</v>
      </c>
      <c r="B927" s="1" t="s">
        <v>25</v>
      </c>
      <c r="C927" s="1" t="s">
        <v>3041</v>
      </c>
      <c r="D927" s="1" t="str">
        <f>Vlookup(C927,'Oil &amp; Gas Documents - Canada'!F:M,2,FALSE)</f>
        <v>#N/A</v>
      </c>
      <c r="E927" s="1" t="str">
        <f>Vlookup(C927,'Oil &amp; Gas Documents - Canada'!F:N,9,FALSE)</f>
        <v>#N/A</v>
      </c>
      <c r="F927" s="1" t="s">
        <v>3042</v>
      </c>
      <c r="G927" s="4" t="str">
        <f>HYPERLINK("http://nimonikapp.com/legislations/37","http://nimonikapp.com/legislations/37")</f>
        <v>http://nimonikapp.com/legislations/37</v>
      </c>
      <c r="H927" s="1" t="s">
        <v>18</v>
      </c>
      <c r="I927" s="1" t="s">
        <v>484</v>
      </c>
      <c r="J927" s="1" t="s">
        <v>485</v>
      </c>
      <c r="K927" s="5">
        <v>44663.0</v>
      </c>
      <c r="L927" s="5">
        <v>44693.0</v>
      </c>
      <c r="M927" s="5">
        <v>44706.0</v>
      </c>
      <c r="N927" s="1" t="s">
        <v>3043</v>
      </c>
    </row>
    <row r="928">
      <c r="A928" s="1" t="s">
        <v>202</v>
      </c>
      <c r="B928" s="1" t="s">
        <v>25</v>
      </c>
      <c r="C928" s="1" t="s">
        <v>482</v>
      </c>
      <c r="D928" s="1" t="str">
        <f>Vlookup(C928,'Oil &amp; Gas Documents - Canada'!F:M,2,FALSE)</f>
        <v>oil_and_gas</v>
      </c>
      <c r="E928" s="1" t="str">
        <f>Vlookup(C928,'Oil &amp; Gas Documents - Canada'!F:N,9,FALSE)</f>
        <v/>
      </c>
      <c r="F928" s="1" t="s">
        <v>481</v>
      </c>
      <c r="G928" s="4" t="str">
        <f>HYPERLINK("http://nimonikapp.com/legislations/100785","http://nimonikapp.com/legislations/100785")</f>
        <v>http://nimonikapp.com/legislations/100785</v>
      </c>
      <c r="H928" s="1" t="s">
        <v>18</v>
      </c>
      <c r="I928" s="1" t="s">
        <v>484</v>
      </c>
      <c r="J928" s="1" t="s">
        <v>485</v>
      </c>
      <c r="K928" s="5">
        <v>44663.0</v>
      </c>
      <c r="L928" s="5">
        <v>44693.0</v>
      </c>
      <c r="M928" s="5">
        <v>44706.0</v>
      </c>
      <c r="N928" s="1" t="s">
        <v>483</v>
      </c>
    </row>
    <row r="929" hidden="1">
      <c r="A929" s="1" t="s">
        <v>202</v>
      </c>
      <c r="B929" s="1" t="s">
        <v>25</v>
      </c>
      <c r="C929" s="1" t="s">
        <v>3044</v>
      </c>
      <c r="D929" s="1" t="str">
        <f>Vlookup(C929,'Oil &amp; Gas Documents - Canada'!F:M,2,FALSE)</f>
        <v>#N/A</v>
      </c>
      <c r="E929" s="1" t="str">
        <f>Vlookup(C929,'Oil &amp; Gas Documents - Canada'!F:N,9,FALSE)</f>
        <v>#N/A</v>
      </c>
      <c r="F929" s="1" t="s">
        <v>3045</v>
      </c>
      <c r="G929" s="4" t="str">
        <f>HYPERLINK("http://nimonikapp.com/legislations/33","http://nimonikapp.com/legislations/33")</f>
        <v>http://nimonikapp.com/legislations/33</v>
      </c>
      <c r="H929" s="1" t="s">
        <v>18</v>
      </c>
      <c r="I929" s="1" t="s">
        <v>484</v>
      </c>
      <c r="J929" s="1" t="s">
        <v>485</v>
      </c>
      <c r="K929" s="5">
        <v>44663.0</v>
      </c>
      <c r="L929" s="5">
        <v>44693.0</v>
      </c>
      <c r="M929" s="5">
        <v>44706.0</v>
      </c>
    </row>
    <row r="930">
      <c r="A930" s="1" t="s">
        <v>202</v>
      </c>
      <c r="B930" s="1" t="s">
        <v>25</v>
      </c>
      <c r="C930" s="1" t="s">
        <v>376</v>
      </c>
      <c r="D930" s="1" t="s">
        <v>26</v>
      </c>
      <c r="E930" s="1" t="str">
        <f>Vlookup(C930,'Oil &amp; Gas Documents - Canada'!F:N,9,FALSE)</f>
        <v>#N/A</v>
      </c>
      <c r="F930" s="1" t="s">
        <v>375</v>
      </c>
      <c r="G930" s="4" t="str">
        <f>HYPERLINK("http://nimonikapp.com/legislations/35","http://nimonikapp.com/legislations/35")</f>
        <v>http://nimonikapp.com/legislations/35</v>
      </c>
      <c r="H930" s="1" t="s">
        <v>18</v>
      </c>
      <c r="I930" s="1" t="s">
        <v>484</v>
      </c>
      <c r="J930" s="1" t="s">
        <v>485</v>
      </c>
      <c r="K930" s="5">
        <v>44663.0</v>
      </c>
      <c r="L930" s="5">
        <v>44693.0</v>
      </c>
      <c r="M930" s="5">
        <v>44706.0</v>
      </c>
      <c r="N930" s="1" t="s">
        <v>377</v>
      </c>
    </row>
    <row r="931" hidden="1">
      <c r="A931" s="1" t="s">
        <v>202</v>
      </c>
      <c r="B931" s="1" t="s">
        <v>25</v>
      </c>
      <c r="C931" s="1" t="s">
        <v>2513</v>
      </c>
      <c r="D931" s="1" t="str">
        <f>Vlookup(C931,'Oil &amp; Gas Documents - Canada'!F:M,2,FALSE)</f>
        <v>#N/A</v>
      </c>
      <c r="E931" s="1" t="str">
        <f>Vlookup(C931,'Oil &amp; Gas Documents - Canada'!F:N,9,FALSE)</f>
        <v>#N/A</v>
      </c>
      <c r="F931" s="1" t="s">
        <v>2514</v>
      </c>
      <c r="G931" s="4" t="str">
        <f>HYPERLINK("http://nimonikapp.com/legislations/10657","http://nimonikapp.com/legislations/10657")</f>
        <v>http://nimonikapp.com/legislations/10657</v>
      </c>
      <c r="H931" s="1" t="s">
        <v>18</v>
      </c>
      <c r="I931" s="1" t="s">
        <v>484</v>
      </c>
      <c r="J931" s="1" t="s">
        <v>485</v>
      </c>
      <c r="K931" s="5">
        <v>44663.0</v>
      </c>
      <c r="L931" s="5">
        <v>44693.0</v>
      </c>
      <c r="M931" s="5">
        <v>44706.0</v>
      </c>
      <c r="N931" s="1" t="s">
        <v>2517</v>
      </c>
    </row>
    <row r="932" hidden="1">
      <c r="A932" s="1" t="s">
        <v>202</v>
      </c>
      <c r="B932" s="1" t="s">
        <v>25</v>
      </c>
      <c r="C932" s="1" t="s">
        <v>3046</v>
      </c>
      <c r="D932" s="1" t="str">
        <f>Vlookup(C932,'Oil &amp; Gas Documents - Canada'!F:M,2,FALSE)</f>
        <v>#N/A</v>
      </c>
      <c r="E932" s="1" t="str">
        <f>Vlookup(C932,'Oil &amp; Gas Documents - Canada'!F:N,9,FALSE)</f>
        <v>#N/A</v>
      </c>
      <c r="F932" s="1" t="s">
        <v>3047</v>
      </c>
      <c r="G932" s="4" t="str">
        <f>HYPERLINK("http://nimonikapp.com/legislations/220","http://nimonikapp.com/legislations/220")</f>
        <v>http://nimonikapp.com/legislations/220</v>
      </c>
      <c r="H932" s="1" t="s">
        <v>18</v>
      </c>
      <c r="I932" s="1" t="s">
        <v>484</v>
      </c>
      <c r="J932" s="1" t="s">
        <v>485</v>
      </c>
      <c r="K932" s="5">
        <v>44663.0</v>
      </c>
      <c r="L932" s="5">
        <v>44693.0</v>
      </c>
      <c r="M932" s="5">
        <v>44706.0</v>
      </c>
    </row>
    <row r="933" hidden="1">
      <c r="A933" s="1" t="s">
        <v>202</v>
      </c>
      <c r="B933" s="1" t="s">
        <v>25</v>
      </c>
      <c r="C933" s="1" t="s">
        <v>2254</v>
      </c>
      <c r="D933" s="1" t="str">
        <f>Vlookup(C933,'Oil &amp; Gas Documents - Canada'!F:M,2,FALSE)</f>
        <v>#N/A</v>
      </c>
      <c r="E933" s="1" t="str">
        <f>Vlookup(C933,'Oil &amp; Gas Documents - Canada'!F:N,9,FALSE)</f>
        <v>#N/A</v>
      </c>
      <c r="F933" s="1" t="s">
        <v>2255</v>
      </c>
      <c r="G933" s="4" t="str">
        <f>HYPERLINK("http://nimonikapp.com/legislations/7071","http://nimonikapp.com/legislations/7071")</f>
        <v>http://nimonikapp.com/legislations/7071</v>
      </c>
      <c r="H933" s="1" t="s">
        <v>18</v>
      </c>
      <c r="I933" s="1" t="s">
        <v>484</v>
      </c>
      <c r="J933" s="1" t="s">
        <v>485</v>
      </c>
      <c r="K933" s="5">
        <v>44663.0</v>
      </c>
      <c r="L933" s="5">
        <v>44693.0</v>
      </c>
      <c r="M933" s="5">
        <v>44706.0</v>
      </c>
    </row>
    <row r="934" hidden="1">
      <c r="A934" s="1" t="s">
        <v>53</v>
      </c>
      <c r="B934" s="1" t="s">
        <v>15</v>
      </c>
      <c r="C934" s="1" t="s">
        <v>3048</v>
      </c>
      <c r="D934" s="1" t="str">
        <f>Vlookup(C934,'Oil &amp; Gas Documents - Canada'!F:M,2,FALSE)</f>
        <v>#N/A</v>
      </c>
      <c r="E934" s="1" t="str">
        <f>Vlookup(C934,'Oil &amp; Gas Documents - Canada'!F:N,9,FALSE)</f>
        <v>#N/A</v>
      </c>
      <c r="F934" s="1" t="s">
        <v>3049</v>
      </c>
      <c r="G934" s="4" t="str">
        <f>HYPERLINK("http://nimonikapp.com/legislations/350698","http://nimonikapp.com/legislations/350698")</f>
        <v>http://nimonikapp.com/legislations/350698</v>
      </c>
      <c r="H934" s="1" t="s">
        <v>18</v>
      </c>
      <c r="K934" s="5">
        <v>44701.0</v>
      </c>
      <c r="L934" s="5">
        <v>44684.0</v>
      </c>
      <c r="M934" s="5">
        <v>44705.0</v>
      </c>
    </row>
    <row r="935" hidden="1">
      <c r="A935" s="1" t="s">
        <v>53</v>
      </c>
      <c r="B935" s="1" t="s">
        <v>15</v>
      </c>
      <c r="C935" s="1" t="s">
        <v>3050</v>
      </c>
      <c r="D935" s="1" t="str">
        <f>Vlookup(C935,'Oil &amp; Gas Documents - Canada'!F:M,2,FALSE)</f>
        <v>#N/A</v>
      </c>
      <c r="E935" s="1" t="str">
        <f>Vlookup(C935,'Oil &amp; Gas Documents - Canada'!F:N,9,FALSE)</f>
        <v>#N/A</v>
      </c>
      <c r="F935" s="1" t="s">
        <v>3051</v>
      </c>
      <c r="G935" s="4" t="str">
        <f>HYPERLINK("http://nimonikapp.com/legislations/350696","http://nimonikapp.com/legislations/350696")</f>
        <v>http://nimonikapp.com/legislations/350696</v>
      </c>
      <c r="H935" s="1" t="s">
        <v>18</v>
      </c>
      <c r="K935" s="5">
        <v>44701.0</v>
      </c>
      <c r="L935" s="5">
        <v>44684.0</v>
      </c>
      <c r="M935" s="5">
        <v>44705.0</v>
      </c>
    </row>
    <row r="936" hidden="1">
      <c r="A936" s="1" t="s">
        <v>486</v>
      </c>
      <c r="B936" s="1" t="s">
        <v>25</v>
      </c>
      <c r="C936" s="1" t="s">
        <v>3052</v>
      </c>
      <c r="D936" s="1" t="str">
        <f>Vlookup(C936,'Oil &amp; Gas Documents - Canada'!F:M,2,FALSE)</f>
        <v>#N/A</v>
      </c>
      <c r="E936" s="1" t="str">
        <f>Vlookup(C936,'Oil &amp; Gas Documents - Canada'!F:N,9,FALSE)</f>
        <v>#N/A</v>
      </c>
      <c r="F936" s="1" t="s">
        <v>1328</v>
      </c>
      <c r="G936" s="4" t="str">
        <f>HYPERLINK("http://nimonikapp.com/legislations/117379","http://nimonikapp.com/legislations/117379")</f>
        <v>http://nimonikapp.com/legislations/117379</v>
      </c>
      <c r="H936" s="1" t="s">
        <v>18</v>
      </c>
      <c r="I936" s="1" t="s">
        <v>3053</v>
      </c>
      <c r="J936" s="1" t="s">
        <v>3054</v>
      </c>
      <c r="K936" s="5">
        <v>44687.0</v>
      </c>
      <c r="L936" s="5">
        <v>44687.0</v>
      </c>
      <c r="M936" s="5">
        <v>44705.0</v>
      </c>
      <c r="N936" s="1" t="s">
        <v>3055</v>
      </c>
    </row>
    <row r="937" hidden="1">
      <c r="A937" s="1" t="s">
        <v>486</v>
      </c>
      <c r="B937" s="1" t="s">
        <v>25</v>
      </c>
      <c r="C937" s="1" t="s">
        <v>3056</v>
      </c>
      <c r="D937" s="1" t="str">
        <f>Vlookup(C937,'Oil &amp; Gas Documents - Canada'!F:M,2,FALSE)</f>
        <v>#N/A</v>
      </c>
      <c r="E937" s="1" t="str">
        <f>Vlookup(C937,'Oil &amp; Gas Documents - Canada'!F:N,9,FALSE)</f>
        <v>#N/A</v>
      </c>
      <c r="F937" s="1" t="s">
        <v>3057</v>
      </c>
      <c r="G937" s="4" t="str">
        <f>HYPERLINK("http://nimonikapp.com/legislations/117390","http://nimonikapp.com/legislations/117390")</f>
        <v>http://nimonikapp.com/legislations/117390</v>
      </c>
      <c r="H937" s="1" t="s">
        <v>18</v>
      </c>
      <c r="I937" s="1" t="s">
        <v>489</v>
      </c>
      <c r="J937" s="1" t="s">
        <v>490</v>
      </c>
      <c r="K937" s="5">
        <v>44687.0</v>
      </c>
      <c r="L937" s="5">
        <v>44687.0</v>
      </c>
      <c r="M937" s="5">
        <v>44705.0</v>
      </c>
    </row>
    <row r="938" hidden="1">
      <c r="A938" s="1" t="s">
        <v>486</v>
      </c>
      <c r="B938" s="1" t="s">
        <v>25</v>
      </c>
      <c r="C938" s="1" t="s">
        <v>3058</v>
      </c>
      <c r="D938" s="1" t="str">
        <f>Vlookup(C938,'Oil &amp; Gas Documents - Canada'!F:M,2,FALSE)</f>
        <v>#N/A</v>
      </c>
      <c r="E938" s="1" t="str">
        <f>Vlookup(C938,'Oil &amp; Gas Documents - Canada'!F:N,9,FALSE)</f>
        <v>#N/A</v>
      </c>
      <c r="F938" s="1" t="s">
        <v>3059</v>
      </c>
      <c r="G938" s="4" t="str">
        <f>HYPERLINK("http://nimonikapp.com/legislations/117388","http://nimonikapp.com/legislations/117388")</f>
        <v>http://nimonikapp.com/legislations/117388</v>
      </c>
      <c r="H938" s="1" t="s">
        <v>18</v>
      </c>
      <c r="I938" s="1" t="s">
        <v>489</v>
      </c>
      <c r="J938" s="1" t="s">
        <v>490</v>
      </c>
      <c r="K938" s="5">
        <v>44687.0</v>
      </c>
      <c r="L938" s="5">
        <v>44687.0</v>
      </c>
      <c r="M938" s="5">
        <v>44705.0</v>
      </c>
    </row>
    <row r="939" hidden="1">
      <c r="A939" s="1" t="s">
        <v>486</v>
      </c>
      <c r="B939" s="1" t="s">
        <v>25</v>
      </c>
      <c r="C939" s="1" t="s">
        <v>3060</v>
      </c>
      <c r="D939" s="1" t="str">
        <f>Vlookup(C939,'Oil &amp; Gas Documents - Canada'!F:M,2,FALSE)</f>
        <v>#N/A</v>
      </c>
      <c r="E939" s="1" t="str">
        <f>Vlookup(C939,'Oil &amp; Gas Documents - Canada'!F:N,9,FALSE)</f>
        <v>#N/A</v>
      </c>
      <c r="F939" s="1" t="s">
        <v>3061</v>
      </c>
      <c r="G939" s="4" t="str">
        <f>HYPERLINK("http://nimonikapp.com/legislations/117383","http://nimonikapp.com/legislations/117383")</f>
        <v>http://nimonikapp.com/legislations/117383</v>
      </c>
      <c r="H939" s="1" t="s">
        <v>18</v>
      </c>
      <c r="I939" s="1" t="s">
        <v>489</v>
      </c>
      <c r="J939" s="1" t="s">
        <v>490</v>
      </c>
      <c r="K939" s="5">
        <v>44687.0</v>
      </c>
      <c r="L939" s="5">
        <v>44687.0</v>
      </c>
      <c r="M939" s="5">
        <v>44705.0</v>
      </c>
    </row>
    <row r="940" hidden="1">
      <c r="A940" s="1" t="s">
        <v>486</v>
      </c>
      <c r="B940" s="1" t="s">
        <v>25</v>
      </c>
      <c r="C940" s="1" t="s">
        <v>3062</v>
      </c>
      <c r="D940" s="1" t="str">
        <f>Vlookup(C940,'Oil &amp; Gas Documents - Canada'!F:M,2,FALSE)</f>
        <v>#N/A</v>
      </c>
      <c r="E940" s="1" t="str">
        <f>Vlookup(C940,'Oil &amp; Gas Documents - Canada'!F:N,9,FALSE)</f>
        <v>#N/A</v>
      </c>
      <c r="F940" s="1" t="s">
        <v>3063</v>
      </c>
      <c r="G940" s="4" t="str">
        <f>HYPERLINK("http://nimonikapp.com/legislations/310354","http://nimonikapp.com/legislations/310354")</f>
        <v>http://nimonikapp.com/legislations/310354</v>
      </c>
      <c r="H940" s="1" t="s">
        <v>18</v>
      </c>
      <c r="I940" s="1" t="s">
        <v>489</v>
      </c>
      <c r="J940" s="1" t="s">
        <v>490</v>
      </c>
      <c r="K940" s="5">
        <v>44687.0</v>
      </c>
      <c r="L940" s="5">
        <v>44687.0</v>
      </c>
      <c r="M940" s="5">
        <v>44705.0</v>
      </c>
    </row>
    <row r="941">
      <c r="A941" s="1" t="s">
        <v>486</v>
      </c>
      <c r="B941" s="1" t="s">
        <v>25</v>
      </c>
      <c r="C941" s="1" t="s">
        <v>488</v>
      </c>
      <c r="D941" s="1" t="str">
        <f>Vlookup(C941,'Oil &amp; Gas Documents - Canada'!F:M,2,FALSE)</f>
        <v>oil_and_gas, mining_and_minerals_industry</v>
      </c>
      <c r="E941" s="1" t="str">
        <f>Vlookup(C941,'Oil &amp; Gas Documents - Canada'!F:N,9,FALSE)</f>
        <v/>
      </c>
      <c r="F941" s="1" t="s">
        <v>487</v>
      </c>
      <c r="G941" s="4" t="str">
        <f>HYPERLINK("http://nimonikapp.com/legislations/310353","http://nimonikapp.com/legislations/310353")</f>
        <v>http://nimonikapp.com/legislations/310353</v>
      </c>
      <c r="H941" s="1" t="s">
        <v>18</v>
      </c>
      <c r="I941" s="1" t="s">
        <v>489</v>
      </c>
      <c r="J941" s="1" t="s">
        <v>490</v>
      </c>
      <c r="K941" s="5">
        <v>44687.0</v>
      </c>
      <c r="L941" s="5">
        <v>44687.0</v>
      </c>
      <c r="M941" s="5">
        <v>44705.0</v>
      </c>
    </row>
    <row r="942" hidden="1">
      <c r="A942" s="1" t="s">
        <v>486</v>
      </c>
      <c r="B942" s="1" t="s">
        <v>25</v>
      </c>
      <c r="C942" s="1" t="s">
        <v>3064</v>
      </c>
      <c r="D942" s="1" t="str">
        <f>Vlookup(C942,'Oil &amp; Gas Documents - Canada'!F:M,2,FALSE)</f>
        <v>#N/A</v>
      </c>
      <c r="E942" s="1" t="str">
        <f>Vlookup(C942,'Oil &amp; Gas Documents - Canada'!F:N,9,FALSE)</f>
        <v>#N/A</v>
      </c>
      <c r="F942" s="1" t="s">
        <v>1354</v>
      </c>
      <c r="G942" s="4" t="str">
        <f>HYPERLINK("http://nimonikapp.com/legislations/657","http://nimonikapp.com/legislations/657")</f>
        <v>http://nimonikapp.com/legislations/657</v>
      </c>
      <c r="H942" s="1" t="s">
        <v>18</v>
      </c>
      <c r="I942" s="1" t="s">
        <v>489</v>
      </c>
      <c r="J942" s="1" t="s">
        <v>490</v>
      </c>
      <c r="K942" s="5">
        <v>44687.0</v>
      </c>
      <c r="L942" s="5">
        <v>44687.0</v>
      </c>
      <c r="M942" s="5">
        <v>44705.0</v>
      </c>
      <c r="N942" s="1" t="s">
        <v>3065</v>
      </c>
    </row>
    <row r="943" hidden="1">
      <c r="A943" s="1" t="s">
        <v>486</v>
      </c>
      <c r="B943" s="1" t="s">
        <v>25</v>
      </c>
      <c r="C943" s="1" t="s">
        <v>3052</v>
      </c>
      <c r="D943" s="1" t="str">
        <f>Vlookup(C943,'Oil &amp; Gas Documents - Canada'!F:M,2,FALSE)</f>
        <v>#N/A</v>
      </c>
      <c r="E943" s="1" t="str">
        <f>Vlookup(C943,'Oil &amp; Gas Documents - Canada'!F:N,9,FALSE)</f>
        <v>#N/A</v>
      </c>
      <c r="F943" s="1" t="s">
        <v>1328</v>
      </c>
      <c r="G943" s="4" t="str">
        <f>HYPERLINK("http://nimonikapp.com/legislations/117379","http://nimonikapp.com/legislations/117379")</f>
        <v>http://nimonikapp.com/legislations/117379</v>
      </c>
      <c r="H943" s="1" t="s">
        <v>18</v>
      </c>
      <c r="I943" s="1" t="s">
        <v>489</v>
      </c>
      <c r="J943" s="1" t="s">
        <v>490</v>
      </c>
      <c r="K943" s="5">
        <v>44687.0</v>
      </c>
      <c r="L943" s="5">
        <v>44687.0</v>
      </c>
      <c r="M943" s="5">
        <v>44705.0</v>
      </c>
      <c r="N943" s="1" t="s">
        <v>3055</v>
      </c>
    </row>
    <row r="944" hidden="1">
      <c r="A944" s="1" t="s">
        <v>486</v>
      </c>
      <c r="B944" s="1" t="s">
        <v>25</v>
      </c>
      <c r="C944" s="1" t="s">
        <v>3066</v>
      </c>
      <c r="D944" s="1" t="str">
        <f>Vlookup(C944,'Oil &amp; Gas Documents - Canada'!F:M,2,FALSE)</f>
        <v>#N/A</v>
      </c>
      <c r="E944" s="1" t="str">
        <f>Vlookup(C944,'Oil &amp; Gas Documents - Canada'!F:N,9,FALSE)</f>
        <v>#N/A</v>
      </c>
      <c r="F944" s="1" t="s">
        <v>3067</v>
      </c>
      <c r="G944" s="4" t="str">
        <f>HYPERLINK("http://nimonikapp.com/legislations/117376","http://nimonikapp.com/legislations/117376")</f>
        <v>http://nimonikapp.com/legislations/117376</v>
      </c>
      <c r="H944" s="1" t="s">
        <v>18</v>
      </c>
      <c r="I944" s="1" t="s">
        <v>489</v>
      </c>
      <c r="J944" s="1" t="s">
        <v>490</v>
      </c>
      <c r="K944" s="5">
        <v>44687.0</v>
      </c>
      <c r="L944" s="5">
        <v>44687.0</v>
      </c>
      <c r="M944" s="5">
        <v>44705.0</v>
      </c>
      <c r="N944" s="1" t="s">
        <v>3068</v>
      </c>
    </row>
    <row r="945" hidden="1">
      <c r="A945" s="1" t="s">
        <v>486</v>
      </c>
      <c r="B945" s="1" t="s">
        <v>25</v>
      </c>
      <c r="C945" s="1" t="s">
        <v>3069</v>
      </c>
      <c r="D945" s="1" t="str">
        <f>Vlookup(C945,'Oil &amp; Gas Documents - Canada'!F:M,2,FALSE)</f>
        <v>#N/A</v>
      </c>
      <c r="E945" s="1" t="str">
        <f>Vlookup(C945,'Oil &amp; Gas Documents - Canada'!F:N,9,FALSE)</f>
        <v>#N/A</v>
      </c>
      <c r="F945" s="1" t="s">
        <v>3070</v>
      </c>
      <c r="G945" s="4" t="str">
        <f>HYPERLINK("http://nimonikapp.com/legislations/211","http://nimonikapp.com/legislations/211")</f>
        <v>http://nimonikapp.com/legislations/211</v>
      </c>
      <c r="H945" s="1" t="s">
        <v>18</v>
      </c>
      <c r="I945" s="1" t="s">
        <v>489</v>
      </c>
      <c r="J945" s="1" t="s">
        <v>490</v>
      </c>
      <c r="K945" s="5">
        <v>44687.0</v>
      </c>
      <c r="L945" s="5">
        <v>44687.0</v>
      </c>
      <c r="M945" s="5">
        <v>44705.0</v>
      </c>
    </row>
    <row r="946" hidden="1">
      <c r="A946" s="1" t="s">
        <v>486</v>
      </c>
      <c r="B946" s="1" t="s">
        <v>25</v>
      </c>
      <c r="C946" s="1" t="s">
        <v>3071</v>
      </c>
      <c r="D946" s="1" t="str">
        <f>Vlookup(C946,'Oil &amp; Gas Documents - Canada'!F:M,2,FALSE)</f>
        <v>#N/A</v>
      </c>
      <c r="E946" s="1" t="str">
        <f>Vlookup(C946,'Oil &amp; Gas Documents - Canada'!F:N,9,FALSE)</f>
        <v>#N/A</v>
      </c>
      <c r="F946" s="1" t="s">
        <v>3072</v>
      </c>
      <c r="G946" s="4" t="str">
        <f>HYPERLINK("http://nimonikapp.com/legislations/284","http://nimonikapp.com/legislations/284")</f>
        <v>http://nimonikapp.com/legislations/284</v>
      </c>
      <c r="H946" s="1" t="s">
        <v>18</v>
      </c>
      <c r="I946" s="1" t="s">
        <v>489</v>
      </c>
      <c r="J946" s="1" t="s">
        <v>490</v>
      </c>
      <c r="K946" s="5">
        <v>44687.0</v>
      </c>
      <c r="L946" s="5">
        <v>44687.0</v>
      </c>
      <c r="M946" s="5">
        <v>44705.0</v>
      </c>
    </row>
    <row r="947" hidden="1">
      <c r="A947" s="1" t="s">
        <v>486</v>
      </c>
      <c r="B947" s="1" t="s">
        <v>25</v>
      </c>
      <c r="C947" s="1" t="s">
        <v>3073</v>
      </c>
      <c r="D947" s="1" t="str">
        <f>Vlookup(C947,'Oil &amp; Gas Documents - Canada'!F:M,2,FALSE)</f>
        <v>#N/A</v>
      </c>
      <c r="E947" s="1" t="str">
        <f>Vlookup(C947,'Oil &amp; Gas Documents - Canada'!F:N,9,FALSE)</f>
        <v>#N/A</v>
      </c>
      <c r="F947" s="1" t="s">
        <v>3074</v>
      </c>
      <c r="G947" s="4" t="str">
        <f>HYPERLINK("http://nimonikapp.com/legislations/154203","http://nimonikapp.com/legislations/154203")</f>
        <v>http://nimonikapp.com/legislations/154203</v>
      </c>
      <c r="H947" s="1" t="s">
        <v>18</v>
      </c>
      <c r="I947" s="1" t="s">
        <v>3075</v>
      </c>
      <c r="J947" s="1" t="s">
        <v>3076</v>
      </c>
      <c r="K947" s="5">
        <v>44687.0</v>
      </c>
      <c r="L947" s="5">
        <v>44687.0</v>
      </c>
      <c r="M947" s="5">
        <v>44705.0</v>
      </c>
      <c r="N947" s="1" t="s">
        <v>3077</v>
      </c>
    </row>
    <row r="948" hidden="1">
      <c r="A948" s="1" t="s">
        <v>486</v>
      </c>
      <c r="B948" s="1" t="s">
        <v>25</v>
      </c>
      <c r="C948" s="1" t="s">
        <v>3078</v>
      </c>
      <c r="D948" s="1" t="str">
        <f>Vlookup(C948,'Oil &amp; Gas Documents - Canada'!F:M,2,FALSE)</f>
        <v>#N/A</v>
      </c>
      <c r="E948" s="1" t="str">
        <f>Vlookup(C948,'Oil &amp; Gas Documents - Canada'!F:N,9,FALSE)</f>
        <v>#N/A</v>
      </c>
      <c r="F948" s="1" t="s">
        <v>3079</v>
      </c>
      <c r="G948" s="4" t="str">
        <f>HYPERLINK("http://nimonikapp.com/legislations/121098","http://nimonikapp.com/legislations/121098")</f>
        <v>http://nimonikapp.com/legislations/121098</v>
      </c>
      <c r="H948" s="1" t="s">
        <v>18</v>
      </c>
      <c r="I948" s="1" t="s">
        <v>3080</v>
      </c>
      <c r="J948" s="1" t="s">
        <v>3081</v>
      </c>
      <c r="K948" s="5">
        <v>44687.0</v>
      </c>
      <c r="L948" s="5">
        <v>44687.0</v>
      </c>
      <c r="M948" s="5">
        <v>44705.0</v>
      </c>
      <c r="N948" s="1" t="s">
        <v>3082</v>
      </c>
    </row>
    <row r="949" hidden="1">
      <c r="A949" s="1" t="s">
        <v>24</v>
      </c>
      <c r="B949" s="1" t="s">
        <v>25</v>
      </c>
      <c r="C949" s="1" t="s">
        <v>1003</v>
      </c>
      <c r="D949" s="1" t="str">
        <f>Vlookup(C949,'Oil &amp; Gas Documents - Canada'!F:M,2,FALSE)</f>
        <v>#N/A</v>
      </c>
      <c r="E949" s="1" t="str">
        <f>Vlookup(C949,'Oil &amp; Gas Documents - Canada'!F:N,9,FALSE)</f>
        <v>#N/A</v>
      </c>
      <c r="F949" s="1" t="s">
        <v>1004</v>
      </c>
      <c r="G949" s="4" t="str">
        <f>HYPERLINK("http://nimonikapp.com/legislations/1251","http://nimonikapp.com/legislations/1251")</f>
        <v>http://nimonikapp.com/legislations/1251</v>
      </c>
      <c r="H949" s="1" t="s">
        <v>18</v>
      </c>
      <c r="I949" s="1" t="s">
        <v>3083</v>
      </c>
      <c r="J949" s="1" t="s">
        <v>3084</v>
      </c>
      <c r="K949" s="5">
        <v>44698.0</v>
      </c>
      <c r="L949" s="5">
        <v>44795.0</v>
      </c>
      <c r="M949" s="5">
        <v>44705.0</v>
      </c>
      <c r="N949" s="1" t="s">
        <v>1007</v>
      </c>
    </row>
    <row r="950" hidden="1">
      <c r="A950" s="1" t="s">
        <v>53</v>
      </c>
      <c r="B950" s="1" t="s">
        <v>25</v>
      </c>
      <c r="C950" s="1" t="s">
        <v>2097</v>
      </c>
      <c r="D950" s="1" t="str">
        <f>Vlookup(C950,'Oil &amp; Gas Documents - Canada'!F:M,2,FALSE)</f>
        <v>#N/A</v>
      </c>
      <c r="E950" s="1" t="str">
        <f>Vlookup(C950,'Oil &amp; Gas Documents - Canada'!F:N,9,FALSE)</f>
        <v>#N/A</v>
      </c>
      <c r="F950" s="1" t="s">
        <v>2098</v>
      </c>
      <c r="G950" s="4" t="str">
        <f t="shared" ref="G950:G951" si="22">HYPERLINK("http://nimonikapp.com/legislations/1160","http://nimonikapp.com/legislations/1160")</f>
        <v>http://nimonikapp.com/legislations/1160</v>
      </c>
      <c r="H950" s="1" t="s">
        <v>18</v>
      </c>
      <c r="I950" s="1" t="s">
        <v>3085</v>
      </c>
      <c r="J950" s="1" t="s">
        <v>2100</v>
      </c>
      <c r="K950" s="5">
        <v>44701.0</v>
      </c>
      <c r="L950" s="5">
        <v>45056.0</v>
      </c>
      <c r="M950" s="5">
        <v>44705.0</v>
      </c>
      <c r="N950" s="1" t="s">
        <v>2101</v>
      </c>
    </row>
    <row r="951" hidden="1">
      <c r="A951" s="1" t="s">
        <v>53</v>
      </c>
      <c r="B951" s="1" t="s">
        <v>25</v>
      </c>
      <c r="C951" s="1" t="s">
        <v>2097</v>
      </c>
      <c r="D951" s="1" t="str">
        <f>Vlookup(C951,'Oil &amp; Gas Documents - Canada'!F:M,2,FALSE)</f>
        <v>#N/A</v>
      </c>
      <c r="E951" s="1" t="str">
        <f>Vlookup(C951,'Oil &amp; Gas Documents - Canada'!F:N,9,FALSE)</f>
        <v>#N/A</v>
      </c>
      <c r="F951" s="1" t="s">
        <v>2098</v>
      </c>
      <c r="G951" s="4" t="str">
        <f t="shared" si="22"/>
        <v>http://nimonikapp.com/legislations/1160</v>
      </c>
      <c r="H951" s="1" t="s">
        <v>18</v>
      </c>
      <c r="I951" s="1" t="s">
        <v>3086</v>
      </c>
      <c r="J951" s="1" t="s">
        <v>2100</v>
      </c>
      <c r="K951" s="5">
        <v>44701.0</v>
      </c>
      <c r="L951" s="5">
        <v>44691.0</v>
      </c>
      <c r="M951" s="5">
        <v>44705.0</v>
      </c>
      <c r="N951" s="1" t="s">
        <v>2101</v>
      </c>
    </row>
    <row r="952" hidden="1">
      <c r="A952" s="1" t="s">
        <v>202</v>
      </c>
      <c r="B952" s="1" t="s">
        <v>25</v>
      </c>
      <c r="C952" s="1" t="s">
        <v>2114</v>
      </c>
      <c r="D952" s="1" t="str">
        <f>Vlookup(C952,'Oil &amp; Gas Documents - Canada'!F:M,2,FALSE)</f>
        <v>#N/A</v>
      </c>
      <c r="E952" s="1" t="str">
        <f>Vlookup(C952,'Oil &amp; Gas Documents - Canada'!F:N,9,FALSE)</f>
        <v>#N/A</v>
      </c>
      <c r="F952" s="1" t="s">
        <v>2115</v>
      </c>
      <c r="G952" s="4" t="str">
        <f>HYPERLINK("http://nimonikapp.com/legislations/46","http://nimonikapp.com/legislations/46")</f>
        <v>http://nimonikapp.com/legislations/46</v>
      </c>
      <c r="H952" s="1" t="s">
        <v>18</v>
      </c>
      <c r="I952" s="1" t="s">
        <v>3087</v>
      </c>
      <c r="J952" s="1" t="s">
        <v>3088</v>
      </c>
      <c r="K952" s="5">
        <v>44701.0</v>
      </c>
      <c r="L952" s="5">
        <v>44593.0</v>
      </c>
      <c r="M952" s="5">
        <v>44705.0</v>
      </c>
      <c r="N952" s="1" t="s">
        <v>2116</v>
      </c>
    </row>
    <row r="953" hidden="1">
      <c r="A953" s="1" t="s">
        <v>202</v>
      </c>
      <c r="B953" s="1" t="s">
        <v>25</v>
      </c>
      <c r="C953" s="1" t="s">
        <v>2053</v>
      </c>
      <c r="D953" s="1" t="str">
        <f>Vlookup(C953,'Oil &amp; Gas Documents - Canada'!F:M,2,FALSE)</f>
        <v>#N/A</v>
      </c>
      <c r="E953" s="1" t="str">
        <f>Vlookup(C953,'Oil &amp; Gas Documents - Canada'!F:N,9,FALSE)</f>
        <v>#N/A</v>
      </c>
      <c r="F953" s="1" t="s">
        <v>2054</v>
      </c>
      <c r="G953" s="4" t="str">
        <f>HYPERLINK("http://nimonikapp.com/legislations/16","http://nimonikapp.com/legislations/16")</f>
        <v>http://nimonikapp.com/legislations/16</v>
      </c>
      <c r="H953" s="1" t="s">
        <v>18</v>
      </c>
      <c r="I953" s="1" t="s">
        <v>3087</v>
      </c>
      <c r="J953" s="1" t="s">
        <v>3088</v>
      </c>
      <c r="K953" s="5">
        <v>44701.0</v>
      </c>
      <c r="L953" s="5">
        <v>44593.0</v>
      </c>
      <c r="M953" s="5">
        <v>44705.0</v>
      </c>
      <c r="N953" s="1" t="s">
        <v>2057</v>
      </c>
    </row>
    <row r="954" hidden="1">
      <c r="A954" s="1" t="s">
        <v>202</v>
      </c>
      <c r="B954" s="1" t="s">
        <v>25</v>
      </c>
      <c r="C954" s="1" t="s">
        <v>3089</v>
      </c>
      <c r="D954" s="1" t="str">
        <f>Vlookup(C954,'Oil &amp; Gas Documents - Canada'!F:M,2,FALSE)</f>
        <v>#N/A</v>
      </c>
      <c r="E954" s="1" t="str">
        <f>Vlookup(C954,'Oil &amp; Gas Documents - Canada'!F:N,9,FALSE)</f>
        <v>#N/A</v>
      </c>
      <c r="F954" s="1" t="s">
        <v>3090</v>
      </c>
      <c r="G954" s="4" t="str">
        <f>HYPERLINK("http://nimonikapp.com/legislations/12258","http://nimonikapp.com/legislations/12258")</f>
        <v>http://nimonikapp.com/legislations/12258</v>
      </c>
      <c r="H954" s="1" t="s">
        <v>18</v>
      </c>
      <c r="I954" s="1" t="s">
        <v>3087</v>
      </c>
      <c r="J954" s="1" t="s">
        <v>3088</v>
      </c>
      <c r="K954" s="5">
        <v>44701.0</v>
      </c>
      <c r="L954" s="5">
        <v>44593.0</v>
      </c>
      <c r="M954" s="5">
        <v>44705.0</v>
      </c>
      <c r="N954" s="1" t="s">
        <v>3091</v>
      </c>
    </row>
    <row r="955" hidden="1">
      <c r="A955" s="1" t="s">
        <v>202</v>
      </c>
      <c r="B955" s="1" t="s">
        <v>25</v>
      </c>
      <c r="C955" s="1" t="s">
        <v>2513</v>
      </c>
      <c r="D955" s="1" t="str">
        <f>Vlookup(C955,'Oil &amp; Gas Documents - Canada'!F:M,2,FALSE)</f>
        <v>#N/A</v>
      </c>
      <c r="E955" s="1" t="str">
        <f>Vlookup(C955,'Oil &amp; Gas Documents - Canada'!F:N,9,FALSE)</f>
        <v>#N/A</v>
      </c>
      <c r="F955" s="1" t="s">
        <v>2514</v>
      </c>
      <c r="G955" s="4" t="str">
        <f>HYPERLINK("http://nimonikapp.com/legislations/10657","http://nimonikapp.com/legislations/10657")</f>
        <v>http://nimonikapp.com/legislations/10657</v>
      </c>
      <c r="H955" s="1" t="s">
        <v>18</v>
      </c>
      <c r="I955" s="1" t="s">
        <v>3087</v>
      </c>
      <c r="J955" s="1" t="s">
        <v>3088</v>
      </c>
      <c r="K955" s="5">
        <v>44701.0</v>
      </c>
      <c r="L955" s="5">
        <v>44593.0</v>
      </c>
      <c r="M955" s="5">
        <v>44705.0</v>
      </c>
      <c r="N955" s="1" t="s">
        <v>2517</v>
      </c>
    </row>
    <row r="956" hidden="1">
      <c r="A956" s="1" t="s">
        <v>73</v>
      </c>
      <c r="B956" s="1" t="s">
        <v>364</v>
      </c>
      <c r="C956" s="1" t="s">
        <v>3092</v>
      </c>
      <c r="D956" s="1" t="str">
        <f>Vlookup(C956,'Oil &amp; Gas Documents - Canada'!F:M,2,FALSE)</f>
        <v>#N/A</v>
      </c>
      <c r="E956" s="1" t="str">
        <f>Vlookup(C956,'Oil &amp; Gas Documents - Canada'!F:N,9,FALSE)</f>
        <v>#N/A</v>
      </c>
      <c r="F956" s="1" t="s">
        <v>3093</v>
      </c>
      <c r="G956" s="4" t="str">
        <f>HYPERLINK("http://nimonikapp.com/legislations/349323","http://nimonikapp.com/legislations/349323")</f>
        <v>http://nimonikapp.com/legislations/349323</v>
      </c>
      <c r="H956" s="1" t="s">
        <v>356</v>
      </c>
      <c r="I956" s="1" t="s">
        <v>2958</v>
      </c>
      <c r="J956" s="1" t="s">
        <v>2959</v>
      </c>
      <c r="K956" s="5">
        <v>44702.0</v>
      </c>
      <c r="L956" s="5">
        <v>44687.0</v>
      </c>
      <c r="M956" s="5">
        <v>44705.0</v>
      </c>
      <c r="N956" s="1" t="s">
        <v>3094</v>
      </c>
    </row>
    <row r="957" hidden="1">
      <c r="A957" s="1" t="s">
        <v>70</v>
      </c>
      <c r="B957" s="1" t="s">
        <v>25</v>
      </c>
      <c r="C957" s="1" t="s">
        <v>3095</v>
      </c>
      <c r="D957" s="1" t="str">
        <f>Vlookup(C957,'Oil &amp; Gas Documents - Canada'!F:M,2,FALSE)</f>
        <v>#N/A</v>
      </c>
      <c r="E957" s="1" t="str">
        <f>Vlookup(C957,'Oil &amp; Gas Documents - Canada'!F:N,9,FALSE)</f>
        <v>#N/A</v>
      </c>
      <c r="F957" s="1" t="s">
        <v>3096</v>
      </c>
      <c r="G957" s="4" t="str">
        <f>HYPERLINK("http://nimonikapp.com/legislations/127622","http://nimonikapp.com/legislations/127622")</f>
        <v>http://nimonikapp.com/legislations/127622</v>
      </c>
      <c r="H957" s="1" t="s">
        <v>18</v>
      </c>
      <c r="I957" s="1" t="s">
        <v>3097</v>
      </c>
      <c r="J957" s="1" t="s">
        <v>3098</v>
      </c>
      <c r="K957" s="5">
        <v>44600.0</v>
      </c>
      <c r="L957" s="5">
        <v>44600.0</v>
      </c>
      <c r="M957" s="5">
        <v>44701.0</v>
      </c>
      <c r="N957" s="1" t="s">
        <v>3099</v>
      </c>
    </row>
    <row r="958" hidden="1">
      <c r="A958" s="1" t="s">
        <v>202</v>
      </c>
      <c r="B958" s="1" t="s">
        <v>25</v>
      </c>
      <c r="C958" s="1" t="s">
        <v>2709</v>
      </c>
      <c r="D958" s="1" t="str">
        <f>Vlookup(C958,'Oil &amp; Gas Documents - Canada'!F:M,2,FALSE)</f>
        <v>#N/A</v>
      </c>
      <c r="E958" s="1" t="str">
        <f>Vlookup(C958,'Oil &amp; Gas Documents - Canada'!F:N,9,FALSE)</f>
        <v>#N/A</v>
      </c>
      <c r="F958" s="1" t="s">
        <v>1410</v>
      </c>
      <c r="G958" s="4" t="str">
        <f>HYPERLINK("http://nimonikapp.com/legislations/350584","http://nimonikapp.com/legislations/350584")</f>
        <v>http://nimonikapp.com/legislations/350584</v>
      </c>
      <c r="H958" s="1" t="s">
        <v>18</v>
      </c>
      <c r="I958" s="1" t="s">
        <v>3100</v>
      </c>
      <c r="J958" s="1" t="s">
        <v>1410</v>
      </c>
      <c r="K958" s="5">
        <v>44700.0</v>
      </c>
      <c r="L958" s="5">
        <v>44694.0</v>
      </c>
      <c r="M958" s="5">
        <v>44701.0</v>
      </c>
      <c r="N958" s="1" t="s">
        <v>2710</v>
      </c>
    </row>
    <row r="959" hidden="1">
      <c r="A959" s="1" t="s">
        <v>202</v>
      </c>
      <c r="B959" s="1" t="s">
        <v>352</v>
      </c>
      <c r="C959" s="1" t="s">
        <v>3101</v>
      </c>
      <c r="D959" s="1" t="str">
        <f>Vlookup(C959,'Oil &amp; Gas Documents - Canada'!F:M,2,FALSE)</f>
        <v>#N/A</v>
      </c>
      <c r="E959" s="1" t="str">
        <f>Vlookup(C959,'Oil &amp; Gas Documents - Canada'!F:N,9,FALSE)</f>
        <v>#N/A</v>
      </c>
      <c r="F959" s="1" t="s">
        <v>1410</v>
      </c>
      <c r="G959" s="4" t="str">
        <f>HYPERLINK("http://nimonikapp.com/legislations/342121","http://nimonikapp.com/legislations/342121")</f>
        <v>http://nimonikapp.com/legislations/342121</v>
      </c>
      <c r="H959" s="1" t="s">
        <v>356</v>
      </c>
      <c r="I959" s="1" t="s">
        <v>1409</v>
      </c>
      <c r="J959" s="1" t="s">
        <v>1410</v>
      </c>
      <c r="K959" s="5">
        <v>44700.0</v>
      </c>
      <c r="L959" s="5">
        <v>44695.0</v>
      </c>
      <c r="M959" s="5">
        <v>44701.0</v>
      </c>
      <c r="N959" s="1" t="s">
        <v>3102</v>
      </c>
    </row>
    <row r="960">
      <c r="A960" s="1" t="s">
        <v>70</v>
      </c>
      <c r="B960" s="1" t="s">
        <v>15</v>
      </c>
      <c r="C960" s="1" t="s">
        <v>492</v>
      </c>
      <c r="D960" s="1" t="s">
        <v>26</v>
      </c>
      <c r="E960" s="1" t="str">
        <f>Vlookup(C960,'Oil &amp; Gas Documents - Canada'!F:N,9,FALSE)</f>
        <v>#N/A</v>
      </c>
      <c r="F960" s="1" t="s">
        <v>491</v>
      </c>
      <c r="G960" s="4" t="str">
        <f>HYPERLINK("http://nimonikapp.com/legislations/158260","http://nimonikapp.com/legislations/158260")</f>
        <v>http://nimonikapp.com/legislations/158260</v>
      </c>
      <c r="H960" s="1" t="s">
        <v>18</v>
      </c>
      <c r="I960" s="1" t="s">
        <v>494</v>
      </c>
      <c r="J960" s="1" t="s">
        <v>495</v>
      </c>
      <c r="K960" s="5">
        <v>44470.0</v>
      </c>
      <c r="L960" s="5">
        <v>44490.0</v>
      </c>
      <c r="M960" s="5">
        <v>44699.0</v>
      </c>
      <c r="N960" s="1" t="s">
        <v>493</v>
      </c>
    </row>
    <row r="961" hidden="1">
      <c r="A961" s="1" t="s">
        <v>202</v>
      </c>
      <c r="B961" s="1" t="s">
        <v>25</v>
      </c>
      <c r="C961" s="1" t="s">
        <v>3103</v>
      </c>
      <c r="D961" s="1" t="str">
        <f>Vlookup(C961,'Oil &amp; Gas Documents - Canada'!F:M,2,FALSE)</f>
        <v>#N/A</v>
      </c>
      <c r="E961" s="1" t="str">
        <f>Vlookup(C961,'Oil &amp; Gas Documents - Canada'!F:N,9,FALSE)</f>
        <v>#N/A</v>
      </c>
      <c r="F961" s="1" t="s">
        <v>3104</v>
      </c>
      <c r="G961" s="4" t="str">
        <f>HYPERLINK("http://nimonikapp.com/legislations/979","http://nimonikapp.com/legislations/979")</f>
        <v>http://nimonikapp.com/legislations/979</v>
      </c>
      <c r="H961" s="1" t="s">
        <v>18</v>
      </c>
      <c r="I961" s="1" t="s">
        <v>3105</v>
      </c>
      <c r="J961" s="1" t="s">
        <v>3106</v>
      </c>
      <c r="K961" s="5">
        <v>44699.0</v>
      </c>
      <c r="L961" s="5">
        <v>44714.0</v>
      </c>
      <c r="M961" s="5">
        <v>44699.0</v>
      </c>
      <c r="N961" s="1" t="s">
        <v>3107</v>
      </c>
    </row>
    <row r="962" hidden="1">
      <c r="A962" s="1" t="s">
        <v>202</v>
      </c>
      <c r="B962" s="1" t="s">
        <v>25</v>
      </c>
      <c r="C962" s="1" t="s">
        <v>1662</v>
      </c>
      <c r="D962" s="1" t="str">
        <f>Vlookup(C962,'Oil &amp; Gas Documents - Canada'!F:M,2,FALSE)</f>
        <v>#N/A</v>
      </c>
      <c r="E962" s="1" t="str">
        <f>Vlookup(C962,'Oil &amp; Gas Documents - Canada'!F:N,9,FALSE)</f>
        <v>#N/A</v>
      </c>
      <c r="F962" s="1" t="s">
        <v>1663</v>
      </c>
      <c r="G962" s="4" t="str">
        <f>HYPERLINK("http://nimonikapp.com/legislations/936","http://nimonikapp.com/legislations/936")</f>
        <v>http://nimonikapp.com/legislations/936</v>
      </c>
      <c r="H962" s="1" t="s">
        <v>18</v>
      </c>
      <c r="I962" s="1" t="s">
        <v>3108</v>
      </c>
      <c r="J962" s="1" t="s">
        <v>3109</v>
      </c>
      <c r="K962" s="5">
        <v>44699.0</v>
      </c>
      <c r="L962" s="5">
        <v>44714.0</v>
      </c>
      <c r="M962" s="5">
        <v>44699.0</v>
      </c>
      <c r="N962" s="1" t="s">
        <v>1664</v>
      </c>
    </row>
    <row r="963">
      <c r="A963" s="1" t="s">
        <v>202</v>
      </c>
      <c r="B963" s="1" t="s">
        <v>15</v>
      </c>
      <c r="C963" s="1" t="s">
        <v>497</v>
      </c>
      <c r="D963" s="1" t="str">
        <f>Vlookup(C963,'Oil &amp; Gas Documents - Canada'!F:M,2,FALSE)</f>
        <v>oil_and_gas</v>
      </c>
      <c r="E963" s="1" t="str">
        <f>Vlookup(C963,'Oil &amp; Gas Documents - Canada'!F:N,9,FALSE)</f>
        <v/>
      </c>
      <c r="F963" s="1" t="s">
        <v>496</v>
      </c>
      <c r="G963" s="4" t="str">
        <f>HYPERLINK("http://nimonikapp.com/legislations/349345","http://nimonikapp.com/legislations/349345")</f>
        <v>http://nimonikapp.com/legislations/349345</v>
      </c>
      <c r="H963" s="1" t="s">
        <v>18</v>
      </c>
      <c r="K963" s="5">
        <v>44664.0</v>
      </c>
      <c r="L963" s="5">
        <v>44664.0</v>
      </c>
      <c r="M963" s="5">
        <v>44698.0</v>
      </c>
    </row>
    <row r="964">
      <c r="A964" s="1" t="s">
        <v>202</v>
      </c>
      <c r="B964" s="1" t="s">
        <v>25</v>
      </c>
      <c r="C964" s="1" t="s">
        <v>499</v>
      </c>
      <c r="D964" s="1" t="s">
        <v>26</v>
      </c>
      <c r="E964" s="1" t="str">
        <f>Vlookup(C964,'Oil &amp; Gas Documents - Canada'!F:N,9,FALSE)</f>
        <v>#N/A</v>
      </c>
      <c r="F964" s="1" t="s">
        <v>498</v>
      </c>
      <c r="G964" s="4" t="str">
        <f>HYPERLINK("http://nimonikapp.com/legislations/4229","http://nimonikapp.com/legislations/4229")</f>
        <v>http://nimonikapp.com/legislations/4229</v>
      </c>
      <c r="H964" s="1" t="s">
        <v>18</v>
      </c>
      <c r="I964" s="1" t="s">
        <v>501</v>
      </c>
      <c r="J964" s="1" t="s">
        <v>502</v>
      </c>
      <c r="K964" s="5">
        <v>44664.0</v>
      </c>
      <c r="L964" s="5">
        <v>44664.0</v>
      </c>
      <c r="M964" s="5">
        <v>44698.0</v>
      </c>
      <c r="N964" s="1" t="s">
        <v>500</v>
      </c>
    </row>
    <row r="965">
      <c r="A965" s="1" t="s">
        <v>202</v>
      </c>
      <c r="B965" s="1" t="s">
        <v>25</v>
      </c>
      <c r="C965" s="1" t="s">
        <v>482</v>
      </c>
      <c r="D965" s="1" t="str">
        <f>Vlookup(C965,'Oil &amp; Gas Documents - Canada'!F:M,2,FALSE)</f>
        <v>oil_and_gas</v>
      </c>
      <c r="E965" s="1" t="str">
        <f>Vlookup(C965,'Oil &amp; Gas Documents - Canada'!F:N,9,FALSE)</f>
        <v/>
      </c>
      <c r="F965" s="1" t="s">
        <v>481</v>
      </c>
      <c r="G965" s="4" t="str">
        <f>HYPERLINK("http://nimonikapp.com/legislations/100785","http://nimonikapp.com/legislations/100785")</f>
        <v>http://nimonikapp.com/legislations/100785</v>
      </c>
      <c r="H965" s="1" t="s">
        <v>18</v>
      </c>
      <c r="I965" s="1" t="s">
        <v>501</v>
      </c>
      <c r="J965" s="1" t="s">
        <v>502</v>
      </c>
      <c r="K965" s="5">
        <v>44664.0</v>
      </c>
      <c r="L965" s="5">
        <v>44664.0</v>
      </c>
      <c r="M965" s="5">
        <v>44698.0</v>
      </c>
      <c r="N965" s="1" t="s">
        <v>483</v>
      </c>
    </row>
    <row r="966">
      <c r="A966" s="1" t="s">
        <v>202</v>
      </c>
      <c r="B966" s="1" t="s">
        <v>25</v>
      </c>
      <c r="C966" s="1" t="s">
        <v>329</v>
      </c>
      <c r="D966" s="1" t="s">
        <v>26</v>
      </c>
      <c r="E966" s="1" t="str">
        <f>Vlookup(C966,'Oil &amp; Gas Documents - Canada'!F:N,9,FALSE)</f>
        <v>#N/A</v>
      </c>
      <c r="F966" s="1" t="s">
        <v>328</v>
      </c>
      <c r="G966" s="4" t="str">
        <f>HYPERLINK("http://nimonikapp.com/legislations/96706","http://nimonikapp.com/legislations/96706")</f>
        <v>http://nimonikapp.com/legislations/96706</v>
      </c>
      <c r="H966" s="1" t="s">
        <v>18</v>
      </c>
      <c r="I966" s="1" t="s">
        <v>501</v>
      </c>
      <c r="J966" s="1" t="s">
        <v>502</v>
      </c>
      <c r="K966" s="5">
        <v>44664.0</v>
      </c>
      <c r="L966" s="5">
        <v>44664.0</v>
      </c>
      <c r="M966" s="5">
        <v>44698.0</v>
      </c>
      <c r="N966" s="1" t="s">
        <v>330</v>
      </c>
    </row>
    <row r="967" hidden="1">
      <c r="A967" s="1" t="s">
        <v>202</v>
      </c>
      <c r="B967" s="1" t="s">
        <v>25</v>
      </c>
      <c r="C967" s="1" t="s">
        <v>1659</v>
      </c>
      <c r="D967" s="1" t="str">
        <f>Vlookup(C967,'Oil &amp; Gas Documents - Canada'!F:M,2,FALSE)</f>
        <v>#N/A</v>
      </c>
      <c r="E967" s="1" t="str">
        <f>Vlookup(C967,'Oil &amp; Gas Documents - Canada'!F:N,9,FALSE)</f>
        <v>#N/A</v>
      </c>
      <c r="F967" s="1" t="s">
        <v>1660</v>
      </c>
      <c r="G967" s="4" t="str">
        <f>HYPERLINK("http://nimonikapp.com/legislations/268529","http://nimonikapp.com/legislations/268529")</f>
        <v>http://nimonikapp.com/legislations/268529</v>
      </c>
      <c r="H967" s="1" t="s">
        <v>18</v>
      </c>
      <c r="I967" s="1" t="s">
        <v>501</v>
      </c>
      <c r="J967" s="1" t="s">
        <v>502</v>
      </c>
      <c r="K967" s="5">
        <v>44664.0</v>
      </c>
      <c r="L967" s="5">
        <v>44664.0</v>
      </c>
      <c r="M967" s="5">
        <v>44698.0</v>
      </c>
      <c r="N967" s="1" t="s">
        <v>1661</v>
      </c>
    </row>
    <row r="968">
      <c r="A968" s="1" t="s">
        <v>202</v>
      </c>
      <c r="B968" s="1" t="s">
        <v>25</v>
      </c>
      <c r="C968" s="1" t="s">
        <v>373</v>
      </c>
      <c r="D968" s="1" t="s">
        <v>26</v>
      </c>
      <c r="E968" s="1" t="str">
        <f>Vlookup(C968,'Oil &amp; Gas Documents - Canada'!F:N,9,FALSE)</f>
        <v>#N/A</v>
      </c>
      <c r="F968" s="1" t="s">
        <v>372</v>
      </c>
      <c r="G968" s="4" t="str">
        <f>HYPERLINK("http://nimonikapp.com/legislations/1304","http://nimonikapp.com/legislations/1304")</f>
        <v>http://nimonikapp.com/legislations/1304</v>
      </c>
      <c r="H968" s="1" t="s">
        <v>18</v>
      </c>
      <c r="I968" s="1" t="s">
        <v>501</v>
      </c>
      <c r="J968" s="1" t="s">
        <v>502</v>
      </c>
      <c r="K968" s="5">
        <v>44664.0</v>
      </c>
      <c r="L968" s="5">
        <v>44664.0</v>
      </c>
      <c r="M968" s="5">
        <v>44698.0</v>
      </c>
      <c r="N968" s="1" t="s">
        <v>374</v>
      </c>
    </row>
    <row r="969">
      <c r="A969" s="1" t="s">
        <v>202</v>
      </c>
      <c r="B969" s="1" t="s">
        <v>25</v>
      </c>
      <c r="C969" s="1" t="s">
        <v>504</v>
      </c>
      <c r="D969" s="1" t="s">
        <v>26</v>
      </c>
      <c r="E969" s="1" t="str">
        <f>Vlookup(C969,'Oil &amp; Gas Documents - Canada'!F:N,9,FALSE)</f>
        <v>#N/A</v>
      </c>
      <c r="F969" s="1" t="s">
        <v>503</v>
      </c>
      <c r="G969" s="4" t="str">
        <f>HYPERLINK("http://nimonikapp.com/legislations/47","http://nimonikapp.com/legislations/47")</f>
        <v>http://nimonikapp.com/legislations/47</v>
      </c>
      <c r="H969" s="1" t="s">
        <v>18</v>
      </c>
      <c r="I969" s="1" t="s">
        <v>501</v>
      </c>
      <c r="J969" s="1" t="s">
        <v>502</v>
      </c>
      <c r="K969" s="5">
        <v>44664.0</v>
      </c>
      <c r="L969" s="5">
        <v>44664.0</v>
      </c>
      <c r="M969" s="5">
        <v>44698.0</v>
      </c>
      <c r="N969" s="1" t="s">
        <v>505</v>
      </c>
    </row>
    <row r="970" hidden="1">
      <c r="A970" s="1" t="s">
        <v>202</v>
      </c>
      <c r="B970" s="1" t="s">
        <v>25</v>
      </c>
      <c r="C970" s="1" t="s">
        <v>1672</v>
      </c>
      <c r="D970" s="1" t="str">
        <f>Vlookup(C970,'Oil &amp; Gas Documents - Canada'!F:M,2,FALSE)</f>
        <v>#N/A</v>
      </c>
      <c r="E970" s="1" t="str">
        <f>Vlookup(C970,'Oil &amp; Gas Documents - Canada'!F:N,9,FALSE)</f>
        <v>#N/A</v>
      </c>
      <c r="F970" s="1" t="s">
        <v>1673</v>
      </c>
      <c r="G970" s="4" t="str">
        <f>HYPERLINK("http://nimonikapp.com/legislations/2","http://nimonikapp.com/legislations/2")</f>
        <v>http://nimonikapp.com/legislations/2</v>
      </c>
      <c r="H970" s="1" t="s">
        <v>18</v>
      </c>
      <c r="I970" s="1" t="s">
        <v>501</v>
      </c>
      <c r="J970" s="1" t="s">
        <v>502</v>
      </c>
      <c r="K970" s="5">
        <v>44664.0</v>
      </c>
      <c r="L970" s="5">
        <v>44664.0</v>
      </c>
      <c r="M970" s="5">
        <v>44698.0</v>
      </c>
      <c r="N970" s="1" t="s">
        <v>1676</v>
      </c>
    </row>
    <row r="971">
      <c r="A971" s="1" t="s">
        <v>202</v>
      </c>
      <c r="B971" s="1" t="s">
        <v>25</v>
      </c>
      <c r="C971" s="1" t="s">
        <v>346</v>
      </c>
      <c r="D971" s="1" t="s">
        <v>26</v>
      </c>
      <c r="E971" s="1" t="str">
        <f>Vlookup(C971,'Oil &amp; Gas Documents - Canada'!F:N,9,FALSE)</f>
        <v>#N/A</v>
      </c>
      <c r="F971" s="1" t="s">
        <v>345</v>
      </c>
      <c r="G971" s="4" t="str">
        <f>HYPERLINK("http://nimonikapp.com/legislations/115","http://nimonikapp.com/legislations/115")</f>
        <v>http://nimonikapp.com/legislations/115</v>
      </c>
      <c r="H971" s="1" t="s">
        <v>18</v>
      </c>
      <c r="I971" s="1" t="s">
        <v>501</v>
      </c>
      <c r="J971" s="1" t="s">
        <v>502</v>
      </c>
      <c r="K971" s="5">
        <v>44664.0</v>
      </c>
      <c r="L971" s="5">
        <v>44664.0</v>
      </c>
      <c r="M971" s="5">
        <v>44698.0</v>
      </c>
      <c r="N971" s="1" t="s">
        <v>347</v>
      </c>
    </row>
    <row r="972">
      <c r="A972" s="1" t="s">
        <v>202</v>
      </c>
      <c r="B972" s="1" t="s">
        <v>25</v>
      </c>
      <c r="C972" s="1" t="s">
        <v>376</v>
      </c>
      <c r="D972" s="1" t="s">
        <v>26</v>
      </c>
      <c r="E972" s="1" t="str">
        <f>Vlookup(C972,'Oil &amp; Gas Documents - Canada'!F:N,9,FALSE)</f>
        <v>#N/A</v>
      </c>
      <c r="F972" s="1" t="s">
        <v>375</v>
      </c>
      <c r="G972" s="4" t="str">
        <f>HYPERLINK("http://nimonikapp.com/legislations/35","http://nimonikapp.com/legislations/35")</f>
        <v>http://nimonikapp.com/legislations/35</v>
      </c>
      <c r="H972" s="1" t="s">
        <v>18</v>
      </c>
      <c r="I972" s="1" t="s">
        <v>501</v>
      </c>
      <c r="J972" s="1" t="s">
        <v>502</v>
      </c>
      <c r="K972" s="5">
        <v>44664.0</v>
      </c>
      <c r="L972" s="5">
        <v>44664.0</v>
      </c>
      <c r="M972" s="5">
        <v>44698.0</v>
      </c>
      <c r="N972" s="1" t="s">
        <v>377</v>
      </c>
    </row>
    <row r="973" hidden="1">
      <c r="A973" s="1" t="s">
        <v>202</v>
      </c>
      <c r="B973" s="1" t="s">
        <v>25</v>
      </c>
      <c r="C973" s="1" t="s">
        <v>2254</v>
      </c>
      <c r="D973" s="1" t="str">
        <f>Vlookup(C973,'Oil &amp; Gas Documents - Canada'!F:M,2,FALSE)</f>
        <v>#N/A</v>
      </c>
      <c r="E973" s="1" t="str">
        <f>Vlookup(C973,'Oil &amp; Gas Documents - Canada'!F:N,9,FALSE)</f>
        <v>#N/A</v>
      </c>
      <c r="F973" s="1" t="s">
        <v>2255</v>
      </c>
      <c r="G973" s="4" t="str">
        <f>HYPERLINK("http://nimonikapp.com/legislations/7071","http://nimonikapp.com/legislations/7071")</f>
        <v>http://nimonikapp.com/legislations/7071</v>
      </c>
      <c r="H973" s="1" t="s">
        <v>18</v>
      </c>
      <c r="I973" s="1" t="s">
        <v>501</v>
      </c>
      <c r="J973" s="1" t="s">
        <v>502</v>
      </c>
      <c r="K973" s="5">
        <v>44664.0</v>
      </c>
      <c r="L973" s="5">
        <v>44664.0</v>
      </c>
      <c r="M973" s="5">
        <v>44698.0</v>
      </c>
    </row>
    <row r="974" hidden="1">
      <c r="A974" s="1" t="s">
        <v>202</v>
      </c>
      <c r="B974" s="1" t="s">
        <v>25</v>
      </c>
      <c r="C974" s="1" t="s">
        <v>2111</v>
      </c>
      <c r="D974" s="1" t="str">
        <f>Vlookup(C974,'Oil &amp; Gas Documents - Canada'!F:M,2,FALSE)</f>
        <v>#N/A</v>
      </c>
      <c r="E974" s="1" t="str">
        <f>Vlookup(C974,'Oil &amp; Gas Documents - Canada'!F:N,9,FALSE)</f>
        <v>#N/A</v>
      </c>
      <c r="F974" s="1" t="s">
        <v>2112</v>
      </c>
      <c r="G974" s="4" t="str">
        <f>HYPERLINK("http://nimonikapp.com/legislations/684","http://nimonikapp.com/legislations/684")</f>
        <v>http://nimonikapp.com/legislations/684</v>
      </c>
      <c r="H974" s="1" t="s">
        <v>18</v>
      </c>
      <c r="I974" s="1" t="s">
        <v>3110</v>
      </c>
      <c r="J974" s="1" t="s">
        <v>3111</v>
      </c>
      <c r="K974" s="5">
        <v>44657.0</v>
      </c>
      <c r="L974" s="5">
        <v>44657.0</v>
      </c>
      <c r="M974" s="5">
        <v>44698.0</v>
      </c>
    </row>
    <row r="975" hidden="1">
      <c r="A975" s="1" t="s">
        <v>70</v>
      </c>
      <c r="B975" s="1" t="s">
        <v>25</v>
      </c>
      <c r="C975" s="1" t="s">
        <v>3112</v>
      </c>
      <c r="D975" s="1" t="str">
        <f>Vlookup(C975,'Oil &amp; Gas Documents - Canada'!F:M,2,FALSE)</f>
        <v>#N/A</v>
      </c>
      <c r="E975" s="1" t="str">
        <f>Vlookup(C975,'Oil &amp; Gas Documents - Canada'!F:N,9,FALSE)</f>
        <v>#N/A</v>
      </c>
      <c r="F975" s="1" t="s">
        <v>1328</v>
      </c>
      <c r="G975" s="4" t="str">
        <f>HYPERLINK("http://nimonikapp.com/legislations/416","http://nimonikapp.com/legislations/416")</f>
        <v>http://nimonikapp.com/legislations/416</v>
      </c>
      <c r="H975" s="1" t="s">
        <v>18</v>
      </c>
      <c r="I975" s="1" t="s">
        <v>3113</v>
      </c>
      <c r="J975" s="1" t="s">
        <v>3114</v>
      </c>
      <c r="K975" s="5">
        <v>44695.0</v>
      </c>
      <c r="M975" s="5">
        <v>44698.0</v>
      </c>
      <c r="N975" s="1" t="s">
        <v>3115</v>
      </c>
    </row>
    <row r="976" hidden="1">
      <c r="A976" s="1" t="s">
        <v>70</v>
      </c>
      <c r="B976" s="1" t="s">
        <v>25</v>
      </c>
      <c r="C976" s="1" t="s">
        <v>3116</v>
      </c>
      <c r="D976" s="1" t="str">
        <f>Vlookup(C976,'Oil &amp; Gas Documents - Canada'!F:M,2,FALSE)</f>
        <v>#N/A</v>
      </c>
      <c r="E976" s="1" t="str">
        <f>Vlookup(C976,'Oil &amp; Gas Documents - Canada'!F:N,9,FALSE)</f>
        <v>#N/A</v>
      </c>
      <c r="F976" s="1" t="s">
        <v>3117</v>
      </c>
      <c r="G976" s="4" t="str">
        <f>HYPERLINK("http://nimonikapp.com/legislations/296129","http://nimonikapp.com/legislations/296129")</f>
        <v>http://nimonikapp.com/legislations/296129</v>
      </c>
      <c r="H976" s="1" t="s">
        <v>18</v>
      </c>
      <c r="I976" s="1" t="s">
        <v>3113</v>
      </c>
      <c r="J976" s="1" t="s">
        <v>3114</v>
      </c>
      <c r="K976" s="5">
        <v>44695.0</v>
      </c>
      <c r="M976" s="5">
        <v>44698.0</v>
      </c>
      <c r="N976" s="1" t="s">
        <v>3118</v>
      </c>
    </row>
    <row r="977" hidden="1">
      <c r="A977" s="1" t="s">
        <v>70</v>
      </c>
      <c r="B977" s="1" t="s">
        <v>25</v>
      </c>
      <c r="C977" s="1" t="s">
        <v>3119</v>
      </c>
      <c r="D977" s="1" t="str">
        <f>Vlookup(C977,'Oil &amp; Gas Documents - Canada'!F:M,2,FALSE)</f>
        <v>#N/A</v>
      </c>
      <c r="E977" s="1" t="str">
        <f>Vlookup(C977,'Oil &amp; Gas Documents - Canada'!F:N,9,FALSE)</f>
        <v>#N/A</v>
      </c>
      <c r="F977" s="1" t="s">
        <v>3120</v>
      </c>
      <c r="G977" s="4" t="str">
        <f>HYPERLINK("http://nimonikapp.com/legislations/344118","http://nimonikapp.com/legislations/344118")</f>
        <v>http://nimonikapp.com/legislations/344118</v>
      </c>
      <c r="H977" s="1" t="s">
        <v>52</v>
      </c>
      <c r="I977" s="1" t="s">
        <v>3121</v>
      </c>
      <c r="J977" s="1" t="s">
        <v>3122</v>
      </c>
      <c r="K977" s="5">
        <v>44695.0</v>
      </c>
      <c r="M977" s="5">
        <v>44698.0</v>
      </c>
    </row>
    <row r="978" hidden="1">
      <c r="A978" s="1" t="s">
        <v>73</v>
      </c>
      <c r="B978" s="1" t="s">
        <v>15</v>
      </c>
      <c r="C978" s="1" t="s">
        <v>3123</v>
      </c>
      <c r="D978" s="1" t="str">
        <f>Vlookup(C978,'Oil &amp; Gas Documents - Canada'!F:M,2,FALSE)</f>
        <v>#N/A</v>
      </c>
      <c r="E978" s="1" t="str">
        <f>Vlookup(C978,'Oil &amp; Gas Documents - Canada'!F:N,9,FALSE)</f>
        <v>#N/A</v>
      </c>
      <c r="F978" s="1" t="s">
        <v>3124</v>
      </c>
      <c r="G978" s="4" t="str">
        <f>HYPERLINK("http://nimonikapp.com/legislations/349307","http://nimonikapp.com/legislations/349307")</f>
        <v>http://nimonikapp.com/legislations/349307</v>
      </c>
      <c r="H978" s="1" t="s">
        <v>516</v>
      </c>
      <c r="K978" s="5">
        <v>44695.0</v>
      </c>
      <c r="M978" s="5">
        <v>44697.0</v>
      </c>
    </row>
    <row r="979" hidden="1">
      <c r="A979" s="1" t="s">
        <v>73</v>
      </c>
      <c r="B979" s="1" t="s">
        <v>15</v>
      </c>
      <c r="C979" s="1" t="s">
        <v>3125</v>
      </c>
      <c r="D979" s="1" t="str">
        <f>Vlookup(C979,'Oil &amp; Gas Documents - Canada'!F:M,2,FALSE)</f>
        <v>#N/A</v>
      </c>
      <c r="E979" s="1" t="str">
        <f>Vlookup(C979,'Oil &amp; Gas Documents - Canada'!F:N,9,FALSE)</f>
        <v>#N/A</v>
      </c>
      <c r="F979" s="1" t="s">
        <v>3126</v>
      </c>
      <c r="G979" s="4" t="str">
        <f>HYPERLINK("http://nimonikapp.com/legislations/349306","http://nimonikapp.com/legislations/349306")</f>
        <v>http://nimonikapp.com/legislations/349306</v>
      </c>
      <c r="H979" s="1" t="s">
        <v>516</v>
      </c>
      <c r="K979" s="5">
        <v>44695.0</v>
      </c>
      <c r="M979" s="5">
        <v>44697.0</v>
      </c>
    </row>
    <row r="980">
      <c r="A980" s="1" t="s">
        <v>21</v>
      </c>
      <c r="B980" s="1" t="s">
        <v>25</v>
      </c>
      <c r="C980" s="1" t="s">
        <v>507</v>
      </c>
      <c r="D980" s="1" t="str">
        <f>Vlookup(C980,'Oil &amp; Gas Documents - Canada'!F:M,2,FALSE)</f>
        <v>oil_and_gas</v>
      </c>
      <c r="E980" s="1" t="str">
        <f>Vlookup(C980,'Oil &amp; Gas Documents - Canada'!F:N,9,FALSE)</f>
        <v/>
      </c>
      <c r="F980" s="1" t="s">
        <v>506</v>
      </c>
      <c r="G980" s="4" t="str">
        <f>HYPERLINK("http://nimonikapp.com/legislations/91184","http://nimonikapp.com/legislations/91184")</f>
        <v>http://nimonikapp.com/legislations/91184</v>
      </c>
      <c r="H980" s="1" t="s">
        <v>18</v>
      </c>
      <c r="I980" s="1" t="s">
        <v>509</v>
      </c>
      <c r="J980" s="1" t="s">
        <v>510</v>
      </c>
      <c r="K980" s="5">
        <v>44691.0</v>
      </c>
      <c r="L980" s="5">
        <v>44691.0</v>
      </c>
      <c r="M980" s="5">
        <v>44697.0</v>
      </c>
      <c r="N980" s="1" t="s">
        <v>508</v>
      </c>
    </row>
    <row r="981" hidden="1">
      <c r="A981" s="1" t="s">
        <v>486</v>
      </c>
      <c r="B981" s="1" t="s">
        <v>25</v>
      </c>
      <c r="C981" s="1" t="s">
        <v>986</v>
      </c>
      <c r="D981" s="1" t="str">
        <f>Vlookup(C981,'Oil &amp; Gas Documents - Canada'!F:M,2,FALSE)</f>
        <v>#N/A</v>
      </c>
      <c r="E981" s="1" t="str">
        <f>Vlookup(C981,'Oil &amp; Gas Documents - Canada'!F:N,9,FALSE)</f>
        <v>#N/A</v>
      </c>
      <c r="F981" s="1" t="s">
        <v>987</v>
      </c>
      <c r="G981" s="4" t="str">
        <f t="shared" ref="G981:G986" si="23">HYPERLINK("http://nimonikapp.com/legislations/117407","http://nimonikapp.com/legislations/117407")</f>
        <v>http://nimonikapp.com/legislations/117407</v>
      </c>
      <c r="H981" s="1" t="s">
        <v>18</v>
      </c>
      <c r="I981" s="1" t="s">
        <v>3127</v>
      </c>
      <c r="J981" s="1" t="s">
        <v>989</v>
      </c>
      <c r="K981" s="5">
        <v>44695.0</v>
      </c>
      <c r="L981" s="5">
        <v>44695.0</v>
      </c>
      <c r="M981" s="5">
        <v>44697.0</v>
      </c>
      <c r="N981" s="1" t="s">
        <v>990</v>
      </c>
    </row>
    <row r="982" hidden="1">
      <c r="A982" s="1" t="s">
        <v>486</v>
      </c>
      <c r="B982" s="1" t="s">
        <v>25</v>
      </c>
      <c r="C982" s="1" t="s">
        <v>986</v>
      </c>
      <c r="D982" s="1" t="str">
        <f>Vlookup(C982,'Oil &amp; Gas Documents - Canada'!F:M,2,FALSE)</f>
        <v>#N/A</v>
      </c>
      <c r="E982" s="1" t="str">
        <f>Vlookup(C982,'Oil &amp; Gas Documents - Canada'!F:N,9,FALSE)</f>
        <v>#N/A</v>
      </c>
      <c r="F982" s="1" t="s">
        <v>987</v>
      </c>
      <c r="G982" s="4" t="str">
        <f t="shared" si="23"/>
        <v>http://nimonikapp.com/legislations/117407</v>
      </c>
      <c r="H982" s="1" t="s">
        <v>18</v>
      </c>
      <c r="I982" s="1" t="s">
        <v>3128</v>
      </c>
      <c r="J982" s="1" t="s">
        <v>989</v>
      </c>
      <c r="K982" s="5">
        <v>44695.0</v>
      </c>
      <c r="L982" s="5">
        <v>44695.0</v>
      </c>
      <c r="M982" s="5">
        <v>44697.0</v>
      </c>
      <c r="N982" s="1" t="s">
        <v>990</v>
      </c>
    </row>
    <row r="983" hidden="1">
      <c r="A983" s="1" t="s">
        <v>486</v>
      </c>
      <c r="B983" s="1" t="s">
        <v>25</v>
      </c>
      <c r="C983" s="1" t="s">
        <v>986</v>
      </c>
      <c r="D983" s="1" t="str">
        <f>Vlookup(C983,'Oil &amp; Gas Documents - Canada'!F:M,2,FALSE)</f>
        <v>#N/A</v>
      </c>
      <c r="E983" s="1" t="str">
        <f>Vlookup(C983,'Oil &amp; Gas Documents - Canada'!F:N,9,FALSE)</f>
        <v>#N/A</v>
      </c>
      <c r="F983" s="1" t="s">
        <v>987</v>
      </c>
      <c r="G983" s="4" t="str">
        <f t="shared" si="23"/>
        <v>http://nimonikapp.com/legislations/117407</v>
      </c>
      <c r="H983" s="1" t="s">
        <v>18</v>
      </c>
      <c r="I983" s="1" t="s">
        <v>3129</v>
      </c>
      <c r="J983" s="1" t="s">
        <v>989</v>
      </c>
      <c r="K983" s="5">
        <v>44695.0</v>
      </c>
      <c r="L983" s="5">
        <v>44695.0</v>
      </c>
      <c r="M983" s="5">
        <v>44697.0</v>
      </c>
      <c r="N983" s="1" t="s">
        <v>990</v>
      </c>
    </row>
    <row r="984" hidden="1">
      <c r="A984" s="1" t="s">
        <v>486</v>
      </c>
      <c r="B984" s="1" t="s">
        <v>25</v>
      </c>
      <c r="C984" s="1" t="s">
        <v>986</v>
      </c>
      <c r="D984" s="1" t="str">
        <f>Vlookup(C984,'Oil &amp; Gas Documents - Canada'!F:M,2,FALSE)</f>
        <v>#N/A</v>
      </c>
      <c r="E984" s="1" t="str">
        <f>Vlookup(C984,'Oil &amp; Gas Documents - Canada'!F:N,9,FALSE)</f>
        <v>#N/A</v>
      </c>
      <c r="F984" s="1" t="s">
        <v>987</v>
      </c>
      <c r="G984" s="4" t="str">
        <f t="shared" si="23"/>
        <v>http://nimonikapp.com/legislations/117407</v>
      </c>
      <c r="H984" s="1" t="s">
        <v>18</v>
      </c>
      <c r="I984" s="1" t="s">
        <v>3130</v>
      </c>
      <c r="J984" s="1" t="s">
        <v>989</v>
      </c>
      <c r="K984" s="5">
        <v>44695.0</v>
      </c>
      <c r="L984" s="5">
        <v>44695.0</v>
      </c>
      <c r="M984" s="5">
        <v>44697.0</v>
      </c>
      <c r="N984" s="1" t="s">
        <v>990</v>
      </c>
    </row>
    <row r="985" hidden="1">
      <c r="A985" s="1" t="s">
        <v>486</v>
      </c>
      <c r="B985" s="1" t="s">
        <v>25</v>
      </c>
      <c r="C985" s="1" t="s">
        <v>986</v>
      </c>
      <c r="D985" s="1" t="str">
        <f>Vlookup(C985,'Oil &amp; Gas Documents - Canada'!F:M,2,FALSE)</f>
        <v>#N/A</v>
      </c>
      <c r="E985" s="1" t="str">
        <f>Vlookup(C985,'Oil &amp; Gas Documents - Canada'!F:N,9,FALSE)</f>
        <v>#N/A</v>
      </c>
      <c r="F985" s="1" t="s">
        <v>987</v>
      </c>
      <c r="G985" s="4" t="str">
        <f t="shared" si="23"/>
        <v>http://nimonikapp.com/legislations/117407</v>
      </c>
      <c r="H985" s="1" t="s">
        <v>18</v>
      </c>
      <c r="I985" s="1" t="s">
        <v>3131</v>
      </c>
      <c r="J985" s="1" t="s">
        <v>989</v>
      </c>
      <c r="K985" s="5">
        <v>44695.0</v>
      </c>
      <c r="L985" s="5">
        <v>44695.0</v>
      </c>
      <c r="M985" s="5">
        <v>44697.0</v>
      </c>
      <c r="N985" s="1" t="s">
        <v>990</v>
      </c>
    </row>
    <row r="986" hidden="1">
      <c r="A986" s="1" t="s">
        <v>486</v>
      </c>
      <c r="B986" s="1" t="s">
        <v>25</v>
      </c>
      <c r="C986" s="1" t="s">
        <v>986</v>
      </c>
      <c r="D986" s="1" t="str">
        <f>Vlookup(C986,'Oil &amp; Gas Documents - Canada'!F:M,2,FALSE)</f>
        <v>#N/A</v>
      </c>
      <c r="E986" s="1" t="str">
        <f>Vlookup(C986,'Oil &amp; Gas Documents - Canada'!F:N,9,FALSE)</f>
        <v>#N/A</v>
      </c>
      <c r="F986" s="1" t="s">
        <v>987</v>
      </c>
      <c r="G986" s="4" t="str">
        <f t="shared" si="23"/>
        <v>http://nimonikapp.com/legislations/117407</v>
      </c>
      <c r="H986" s="1" t="s">
        <v>18</v>
      </c>
      <c r="I986" s="1" t="s">
        <v>3132</v>
      </c>
      <c r="J986" s="1" t="s">
        <v>989</v>
      </c>
      <c r="K986" s="5">
        <v>44695.0</v>
      </c>
      <c r="L986" s="5">
        <v>44695.0</v>
      </c>
      <c r="M986" s="5">
        <v>44697.0</v>
      </c>
      <c r="N986" s="1" t="s">
        <v>990</v>
      </c>
    </row>
    <row r="987">
      <c r="A987" s="1" t="s">
        <v>73</v>
      </c>
      <c r="B987" s="1" t="s">
        <v>364</v>
      </c>
      <c r="C987" s="1" t="s">
        <v>512</v>
      </c>
      <c r="D987" s="1" t="s">
        <v>26</v>
      </c>
      <c r="E987" s="1" t="str">
        <f>Vlookup(C987,'Oil &amp; Gas Documents - Canada'!F:N,9,FALSE)</f>
        <v>#N/A</v>
      </c>
      <c r="F987" s="1" t="s">
        <v>511</v>
      </c>
      <c r="G987" s="4" t="str">
        <f>HYPERLINK("http://nimonikapp.com/legislations/293215","http://nimonikapp.com/legislations/293215")</f>
        <v>http://nimonikapp.com/legislations/293215</v>
      </c>
      <c r="H987" s="1" t="s">
        <v>356</v>
      </c>
      <c r="I987" s="1" t="s">
        <v>513</v>
      </c>
      <c r="J987" s="1" t="s">
        <v>511</v>
      </c>
      <c r="K987" s="5">
        <v>44695.0</v>
      </c>
      <c r="L987" s="5">
        <v>44670.0</v>
      </c>
      <c r="M987" s="5">
        <v>44697.0</v>
      </c>
    </row>
    <row r="988" hidden="1">
      <c r="A988" s="1" t="s">
        <v>73</v>
      </c>
      <c r="B988" s="1" t="s">
        <v>364</v>
      </c>
      <c r="C988" s="1" t="s">
        <v>3133</v>
      </c>
      <c r="D988" s="1" t="str">
        <f>Vlookup(C988,'Oil &amp; Gas Documents - Canada'!F:M,2,FALSE)</f>
        <v>#N/A</v>
      </c>
      <c r="E988" s="1" t="str">
        <f>Vlookup(C988,'Oil &amp; Gas Documents - Canada'!F:N,9,FALSE)</f>
        <v>#N/A</v>
      </c>
      <c r="F988" s="1" t="s">
        <v>3134</v>
      </c>
      <c r="G988" s="4" t="str">
        <f>HYPERLINK("http://nimonikapp.com/legislations/348359","http://nimonikapp.com/legislations/348359")</f>
        <v>http://nimonikapp.com/legislations/348359</v>
      </c>
      <c r="H988" s="1" t="s">
        <v>356</v>
      </c>
      <c r="I988" s="1" t="s">
        <v>3092</v>
      </c>
      <c r="J988" s="1" t="s">
        <v>3093</v>
      </c>
      <c r="K988" s="5">
        <v>44695.0</v>
      </c>
      <c r="L988" s="5">
        <v>44675.0</v>
      </c>
      <c r="M988" s="5">
        <v>44697.0</v>
      </c>
      <c r="N988" s="1" t="s">
        <v>3135</v>
      </c>
    </row>
    <row r="989">
      <c r="A989" s="1" t="s">
        <v>24</v>
      </c>
      <c r="B989" s="1" t="s">
        <v>15</v>
      </c>
      <c r="C989" s="1" t="s">
        <v>515</v>
      </c>
      <c r="D989" s="1" t="str">
        <f>Vlookup(C989,'Oil &amp; Gas Documents - Canada'!F:M,2,FALSE)</f>
        <v>oil_and_gas</v>
      </c>
      <c r="E989" s="1" t="str">
        <f>Vlookup(C989,'Oil &amp; Gas Documents - Canada'!F:N,9,FALSE)</f>
        <v/>
      </c>
      <c r="F989" s="1" t="s">
        <v>514</v>
      </c>
      <c r="G989" s="4" t="str">
        <f>HYPERLINK("http://nimonikapp.com/legislations/349252","http://nimonikapp.com/legislations/349252")</f>
        <v>http://nimonikapp.com/legislations/349252</v>
      </c>
      <c r="H989" s="1" t="s">
        <v>516</v>
      </c>
      <c r="K989" s="5">
        <v>44691.0</v>
      </c>
      <c r="M989" s="5">
        <v>44694.0</v>
      </c>
    </row>
    <row r="990">
      <c r="A990" s="1" t="s">
        <v>202</v>
      </c>
      <c r="B990" s="1" t="s">
        <v>15</v>
      </c>
      <c r="C990" s="1" t="s">
        <v>518</v>
      </c>
      <c r="D990" s="1" t="s">
        <v>26</v>
      </c>
      <c r="E990" s="1" t="str">
        <f>Vlookup(C990,'Oil &amp; Gas Documents - Canada'!F:N,9,FALSE)</f>
        <v>#N/A</v>
      </c>
      <c r="F990" s="1" t="s">
        <v>517</v>
      </c>
      <c r="G990" s="4" t="str">
        <f>HYPERLINK("http://nimonikapp.com/legislations/349032","http://nimonikapp.com/legislations/349032")</f>
        <v>http://nimonikapp.com/legislations/349032</v>
      </c>
      <c r="H990" s="1" t="s">
        <v>516</v>
      </c>
      <c r="K990" s="5">
        <v>44692.0</v>
      </c>
      <c r="M990" s="5">
        <v>44693.0</v>
      </c>
    </row>
    <row r="991" hidden="1">
      <c r="A991" s="1" t="s">
        <v>99</v>
      </c>
      <c r="B991" s="1" t="s">
        <v>364</v>
      </c>
      <c r="C991" s="1" t="s">
        <v>3136</v>
      </c>
      <c r="D991" s="1" t="str">
        <f>Vlookup(C991,'Oil &amp; Gas Documents - Canada'!F:M,2,FALSE)</f>
        <v>#N/A</v>
      </c>
      <c r="E991" s="1" t="str">
        <f>Vlookup(C991,'Oil &amp; Gas Documents - Canada'!F:N,9,FALSE)</f>
        <v>#N/A</v>
      </c>
      <c r="F991" s="1" t="s">
        <v>3137</v>
      </c>
      <c r="G991" s="4" t="str">
        <f>HYPERLINK("http://nimonikapp.com/legislations/310","http://nimonikapp.com/legislations/310")</f>
        <v>http://nimonikapp.com/legislations/310</v>
      </c>
      <c r="H991" s="1" t="s">
        <v>356</v>
      </c>
      <c r="I991" s="1" t="s">
        <v>3138</v>
      </c>
      <c r="J991" s="1" t="s">
        <v>3139</v>
      </c>
      <c r="K991" s="5">
        <v>44691.0</v>
      </c>
      <c r="M991" s="5">
        <v>44693.0</v>
      </c>
      <c r="N991" s="1" t="s">
        <v>3140</v>
      </c>
    </row>
    <row r="992" hidden="1">
      <c r="A992" s="1" t="s">
        <v>99</v>
      </c>
      <c r="B992" s="1" t="s">
        <v>25</v>
      </c>
      <c r="C992" s="1" t="s">
        <v>3141</v>
      </c>
      <c r="D992" s="1" t="str">
        <f>Vlookup(C992,'Oil &amp; Gas Documents - Canada'!F:M,2,FALSE)</f>
        <v>#N/A</v>
      </c>
      <c r="E992" s="1" t="str">
        <f>Vlookup(C992,'Oil &amp; Gas Documents - Canada'!F:N,9,FALSE)</f>
        <v>#N/A</v>
      </c>
      <c r="F992" s="1" t="s">
        <v>3142</v>
      </c>
      <c r="G992" s="4" t="str">
        <f>HYPERLINK("http://nimonikapp.com/legislations/1412","http://nimonikapp.com/legislations/1412")</f>
        <v>http://nimonikapp.com/legislations/1412</v>
      </c>
      <c r="H992" s="1" t="s">
        <v>18</v>
      </c>
      <c r="I992" s="1" t="s">
        <v>3138</v>
      </c>
      <c r="J992" s="1" t="s">
        <v>3139</v>
      </c>
      <c r="K992" s="5">
        <v>44691.0</v>
      </c>
      <c r="M992" s="5">
        <v>44693.0</v>
      </c>
      <c r="N992" s="1" t="s">
        <v>3143</v>
      </c>
    </row>
    <row r="993" hidden="1">
      <c r="A993" s="1" t="s">
        <v>99</v>
      </c>
      <c r="B993" s="1" t="s">
        <v>25</v>
      </c>
      <c r="C993" s="1" t="s">
        <v>3144</v>
      </c>
      <c r="D993" s="1" t="str">
        <f>Vlookup(C993,'Oil &amp; Gas Documents - Canada'!F:M,2,FALSE)</f>
        <v>#N/A</v>
      </c>
      <c r="E993" s="1" t="str">
        <f>Vlookup(C993,'Oil &amp; Gas Documents - Canada'!F:N,9,FALSE)</f>
        <v>#N/A</v>
      </c>
      <c r="F993" s="1" t="s">
        <v>3145</v>
      </c>
      <c r="G993" s="4" t="str">
        <f>HYPERLINK("http://nimonikapp.com/legislations/1577","http://nimonikapp.com/legislations/1577")</f>
        <v>http://nimonikapp.com/legislations/1577</v>
      </c>
      <c r="H993" s="1" t="s">
        <v>18</v>
      </c>
      <c r="I993" s="1" t="s">
        <v>3138</v>
      </c>
      <c r="J993" s="1" t="s">
        <v>3139</v>
      </c>
      <c r="K993" s="5">
        <v>44691.0</v>
      </c>
      <c r="M993" s="5">
        <v>44693.0</v>
      </c>
      <c r="N993" s="1" t="s">
        <v>3146</v>
      </c>
    </row>
    <row r="994" hidden="1">
      <c r="A994" s="1" t="s">
        <v>99</v>
      </c>
      <c r="B994" s="1" t="s">
        <v>25</v>
      </c>
      <c r="C994" s="1" t="s">
        <v>3147</v>
      </c>
      <c r="D994" s="1" t="str">
        <f>Vlookup(C994,'Oil &amp; Gas Documents - Canada'!F:M,2,FALSE)</f>
        <v>#N/A</v>
      </c>
      <c r="E994" s="1" t="str">
        <f>Vlookup(C994,'Oil &amp; Gas Documents - Canada'!F:N,9,FALSE)</f>
        <v>#N/A</v>
      </c>
      <c r="F994" s="1" t="s">
        <v>3148</v>
      </c>
      <c r="G994" s="4" t="str">
        <f>HYPERLINK("http://nimonikapp.com/legislations/340363","http://nimonikapp.com/legislations/340363")</f>
        <v>http://nimonikapp.com/legislations/340363</v>
      </c>
      <c r="H994" s="1" t="s">
        <v>18</v>
      </c>
      <c r="I994" s="1" t="s">
        <v>3138</v>
      </c>
      <c r="J994" s="1" t="s">
        <v>3139</v>
      </c>
      <c r="K994" s="5">
        <v>44691.0</v>
      </c>
      <c r="M994" s="5">
        <v>44693.0</v>
      </c>
      <c r="N994" s="1" t="s">
        <v>3149</v>
      </c>
    </row>
    <row r="995" hidden="1">
      <c r="A995" s="1" t="s">
        <v>99</v>
      </c>
      <c r="B995" s="1" t="s">
        <v>25</v>
      </c>
      <c r="C995" s="1" t="s">
        <v>3150</v>
      </c>
      <c r="D995" s="1" t="str">
        <f>Vlookup(C995,'Oil &amp; Gas Documents - Canada'!F:M,2,FALSE)</f>
        <v>#N/A</v>
      </c>
      <c r="E995" s="1" t="str">
        <f>Vlookup(C995,'Oil &amp; Gas Documents - Canada'!F:N,9,FALSE)</f>
        <v>#N/A</v>
      </c>
      <c r="F995" s="1" t="s">
        <v>3151</v>
      </c>
      <c r="G995" s="4" t="str">
        <f>HYPERLINK("http://nimonikapp.com/legislations/118519","http://nimonikapp.com/legislations/118519")</f>
        <v>http://nimonikapp.com/legislations/118519</v>
      </c>
      <c r="H995" s="1" t="s">
        <v>18</v>
      </c>
      <c r="I995" s="1" t="s">
        <v>3138</v>
      </c>
      <c r="J995" s="1" t="s">
        <v>3139</v>
      </c>
      <c r="K995" s="5">
        <v>44691.0</v>
      </c>
      <c r="M995" s="5">
        <v>44693.0</v>
      </c>
    </row>
    <row r="996" hidden="1">
      <c r="A996" s="1" t="s">
        <v>99</v>
      </c>
      <c r="B996" s="1" t="s">
        <v>25</v>
      </c>
      <c r="C996" s="1" t="s">
        <v>3152</v>
      </c>
      <c r="D996" s="1" t="str">
        <f>Vlookup(C996,'Oil &amp; Gas Documents - Canada'!F:M,2,FALSE)</f>
        <v>#N/A</v>
      </c>
      <c r="E996" s="1" t="str">
        <f>Vlookup(C996,'Oil &amp; Gas Documents - Canada'!F:N,9,FALSE)</f>
        <v>#N/A</v>
      </c>
      <c r="F996" s="1" t="s">
        <v>3153</v>
      </c>
      <c r="G996" s="4" t="str">
        <f>HYPERLINK("http://nimonikapp.com/legislations/1404","http://nimonikapp.com/legislations/1404")</f>
        <v>http://nimonikapp.com/legislations/1404</v>
      </c>
      <c r="H996" s="1" t="s">
        <v>18</v>
      </c>
      <c r="I996" s="1" t="s">
        <v>3138</v>
      </c>
      <c r="J996" s="1" t="s">
        <v>3139</v>
      </c>
      <c r="K996" s="5">
        <v>44691.0</v>
      </c>
      <c r="M996" s="5">
        <v>44693.0</v>
      </c>
      <c r="N996" s="1" t="s">
        <v>3154</v>
      </c>
    </row>
    <row r="997" hidden="1">
      <c r="A997" s="1" t="s">
        <v>99</v>
      </c>
      <c r="B997" s="1" t="s">
        <v>25</v>
      </c>
      <c r="C997" s="1" t="s">
        <v>1327</v>
      </c>
      <c r="D997" s="1" t="str">
        <f>Vlookup(C997,'Oil &amp; Gas Documents - Canada'!F:M,2,FALSE)</f>
        <v>#N/A</v>
      </c>
      <c r="E997" s="1" t="str">
        <f>Vlookup(C997,'Oil &amp; Gas Documents - Canada'!F:N,9,FALSE)</f>
        <v>#N/A</v>
      </c>
      <c r="F997" s="1" t="s">
        <v>1328</v>
      </c>
      <c r="G997" s="4" t="str">
        <f>HYPERLINK("http://nimonikapp.com/legislations/552","http://nimonikapp.com/legislations/552")</f>
        <v>http://nimonikapp.com/legislations/552</v>
      </c>
      <c r="H997" s="1" t="s">
        <v>18</v>
      </c>
      <c r="I997" s="1" t="s">
        <v>3138</v>
      </c>
      <c r="J997" s="1" t="s">
        <v>3139</v>
      </c>
      <c r="K997" s="5">
        <v>44691.0</v>
      </c>
      <c r="M997" s="5">
        <v>44693.0</v>
      </c>
    </row>
    <row r="998" hidden="1">
      <c r="A998" s="1" t="s">
        <v>99</v>
      </c>
      <c r="B998" s="1" t="s">
        <v>25</v>
      </c>
      <c r="C998" s="1" t="s">
        <v>3155</v>
      </c>
      <c r="D998" s="1" t="str">
        <f>Vlookup(C998,'Oil &amp; Gas Documents - Canada'!F:M,2,FALSE)</f>
        <v>#N/A</v>
      </c>
      <c r="E998" s="1" t="str">
        <f>Vlookup(C998,'Oil &amp; Gas Documents - Canada'!F:N,9,FALSE)</f>
        <v>#N/A</v>
      </c>
      <c r="F998" s="1" t="s">
        <v>3156</v>
      </c>
      <c r="G998" s="4" t="str">
        <f>HYPERLINK("http://nimonikapp.com/legislations/313200","http://nimonikapp.com/legislations/313200")</f>
        <v>http://nimonikapp.com/legislations/313200</v>
      </c>
      <c r="H998" s="1" t="s">
        <v>18</v>
      </c>
      <c r="I998" s="1" t="s">
        <v>3138</v>
      </c>
      <c r="J998" s="1" t="s">
        <v>3139</v>
      </c>
      <c r="K998" s="5">
        <v>44691.0</v>
      </c>
      <c r="M998" s="5">
        <v>44693.0</v>
      </c>
      <c r="N998" s="1" t="s">
        <v>3157</v>
      </c>
    </row>
    <row r="999" hidden="1">
      <c r="A999" s="1" t="s">
        <v>21</v>
      </c>
      <c r="B999" s="1" t="s">
        <v>25</v>
      </c>
      <c r="C999" s="1" t="s">
        <v>3158</v>
      </c>
      <c r="D999" s="1" t="str">
        <f>Vlookup(C999,'Oil &amp; Gas Documents - Canada'!F:M,2,FALSE)</f>
        <v>#N/A</v>
      </c>
      <c r="E999" s="1" t="str">
        <f>Vlookup(C999,'Oil &amp; Gas Documents - Canada'!F:N,9,FALSE)</f>
        <v>#N/A</v>
      </c>
      <c r="F999" s="1" t="s">
        <v>3159</v>
      </c>
      <c r="G999" s="4" t="str">
        <f>HYPERLINK("http://nimonikapp.com/legislations/96267","http://nimonikapp.com/legislations/96267")</f>
        <v>http://nimonikapp.com/legislations/96267</v>
      </c>
      <c r="H999" s="1" t="s">
        <v>18</v>
      </c>
      <c r="I999" s="1" t="s">
        <v>3160</v>
      </c>
      <c r="J999" s="1" t="s">
        <v>3161</v>
      </c>
      <c r="K999" s="5">
        <v>44672.0</v>
      </c>
      <c r="L999" s="5">
        <v>44686.0</v>
      </c>
      <c r="M999" s="5">
        <v>44693.0</v>
      </c>
      <c r="N999" s="1" t="s">
        <v>3162</v>
      </c>
    </row>
    <row r="1000" hidden="1">
      <c r="A1000" s="1" t="s">
        <v>99</v>
      </c>
      <c r="B1000" s="1" t="s">
        <v>364</v>
      </c>
      <c r="C1000" s="1" t="s">
        <v>3163</v>
      </c>
      <c r="D1000" s="1" t="str">
        <f>Vlookup(C1000,'Oil &amp; Gas Documents - Canada'!F:M,2,FALSE)</f>
        <v>#N/A</v>
      </c>
      <c r="E1000" s="1" t="str">
        <f>Vlookup(C1000,'Oil &amp; Gas Documents - Canada'!F:N,9,FALSE)</f>
        <v>#N/A</v>
      </c>
      <c r="F1000" s="1" t="s">
        <v>3164</v>
      </c>
      <c r="G1000" s="4" t="str">
        <f>HYPERLINK("http://nimonikapp.com/legislations/1570","http://nimonikapp.com/legislations/1570")</f>
        <v>http://nimonikapp.com/legislations/1570</v>
      </c>
      <c r="H1000" s="1" t="s">
        <v>356</v>
      </c>
      <c r="I1000" s="1" t="s">
        <v>3165</v>
      </c>
      <c r="J1000" s="1" t="s">
        <v>3166</v>
      </c>
      <c r="K1000" s="5">
        <v>44691.0</v>
      </c>
      <c r="L1000" s="5">
        <v>44700.0</v>
      </c>
      <c r="M1000" s="5">
        <v>44693.0</v>
      </c>
      <c r="N1000" s="1" t="s">
        <v>3167</v>
      </c>
    </row>
    <row r="1001" hidden="1">
      <c r="A1001" s="1" t="s">
        <v>24</v>
      </c>
      <c r="B1001" s="1" t="s">
        <v>15</v>
      </c>
      <c r="C1001" s="1" t="s">
        <v>3168</v>
      </c>
      <c r="D1001" s="1" t="str">
        <f>Vlookup(C1001,'Oil &amp; Gas Documents - Canada'!F:M,2,FALSE)</f>
        <v>#N/A</v>
      </c>
      <c r="E1001" s="1" t="str">
        <f>Vlookup(C1001,'Oil &amp; Gas Documents - Canada'!F:N,9,FALSE)</f>
        <v>#N/A</v>
      </c>
      <c r="F1001" s="1" t="s">
        <v>3169</v>
      </c>
      <c r="G1001" s="4" t="str">
        <f>HYPERLINK("http://nimonikapp.com/legislations/348666","http://nimonikapp.com/legislations/348666")</f>
        <v>http://nimonikapp.com/legislations/348666</v>
      </c>
      <c r="H1001" s="1" t="s">
        <v>516</v>
      </c>
      <c r="K1001" s="5">
        <v>44690.0</v>
      </c>
      <c r="M1001" s="5">
        <v>44692.0</v>
      </c>
    </row>
    <row r="1002" hidden="1">
      <c r="A1002" s="1" t="s">
        <v>24</v>
      </c>
      <c r="B1002" s="1" t="s">
        <v>15</v>
      </c>
      <c r="C1002" s="1" t="s">
        <v>3170</v>
      </c>
      <c r="D1002" s="1" t="str">
        <f>Vlookup(C1002,'Oil &amp; Gas Documents - Canada'!F:M,2,FALSE)</f>
        <v>#N/A</v>
      </c>
      <c r="E1002" s="1" t="str">
        <f>Vlookup(C1002,'Oil &amp; Gas Documents - Canada'!F:N,9,FALSE)</f>
        <v>#N/A</v>
      </c>
      <c r="F1002" s="1" t="s">
        <v>3171</v>
      </c>
      <c r="G1002" s="4" t="str">
        <f>HYPERLINK("http://nimonikapp.com/legislations/348665","http://nimonikapp.com/legislations/348665")</f>
        <v>http://nimonikapp.com/legislations/348665</v>
      </c>
      <c r="H1002" s="1" t="s">
        <v>516</v>
      </c>
      <c r="K1002" s="5">
        <v>44690.0</v>
      </c>
      <c r="M1002" s="5">
        <v>44692.0</v>
      </c>
    </row>
    <row r="1003" hidden="1">
      <c r="A1003" s="1" t="s">
        <v>53</v>
      </c>
      <c r="B1003" s="1" t="s">
        <v>25</v>
      </c>
      <c r="C1003" s="1" t="s">
        <v>1158</v>
      </c>
      <c r="D1003" s="1" t="str">
        <f>Vlookup(C1003,'Oil &amp; Gas Documents - Canada'!F:M,2,FALSE)</f>
        <v>#N/A</v>
      </c>
      <c r="E1003" s="1" t="str">
        <f>Vlookup(C1003,'Oil &amp; Gas Documents - Canada'!F:N,9,FALSE)</f>
        <v>#N/A</v>
      </c>
      <c r="F1003" s="1" t="s">
        <v>1159</v>
      </c>
      <c r="G1003" s="4" t="str">
        <f>HYPERLINK("http://nimonikapp.com/legislations/314873","http://nimonikapp.com/legislations/314873")</f>
        <v>http://nimonikapp.com/legislations/314873</v>
      </c>
      <c r="H1003" s="1" t="s">
        <v>18</v>
      </c>
      <c r="I1003" s="1" t="s">
        <v>3172</v>
      </c>
      <c r="J1003" s="1" t="s">
        <v>1161</v>
      </c>
      <c r="K1003" s="5">
        <v>44673.0</v>
      </c>
      <c r="L1003" s="5">
        <v>44673.0</v>
      </c>
      <c r="M1003" s="5">
        <v>44692.0</v>
      </c>
      <c r="N1003" s="1" t="s">
        <v>1162</v>
      </c>
    </row>
    <row r="1004" hidden="1">
      <c r="A1004" s="1" t="s">
        <v>73</v>
      </c>
      <c r="B1004" s="1" t="s">
        <v>25</v>
      </c>
      <c r="C1004" s="1" t="s">
        <v>1069</v>
      </c>
      <c r="D1004" s="1" t="str">
        <f>Vlookup(C1004,'Oil &amp; Gas Documents - Canada'!F:M,2,FALSE)</f>
        <v>#N/A</v>
      </c>
      <c r="E1004" s="1" t="str">
        <f>Vlookup(C1004,'Oil &amp; Gas Documents - Canada'!F:N,9,FALSE)</f>
        <v>#N/A</v>
      </c>
      <c r="F1004" s="1" t="s">
        <v>1070</v>
      </c>
      <c r="G1004" s="4" t="str">
        <f>HYPERLINK("http://nimonikapp.com/legislations/897","http://nimonikapp.com/legislations/897")</f>
        <v>http://nimonikapp.com/legislations/897</v>
      </c>
      <c r="H1004" s="1" t="s">
        <v>18</v>
      </c>
      <c r="I1004" s="1" t="s">
        <v>3173</v>
      </c>
      <c r="J1004" s="1" t="s">
        <v>3174</v>
      </c>
      <c r="K1004" s="5">
        <v>44688.0</v>
      </c>
      <c r="L1004" s="5">
        <v>44676.0</v>
      </c>
      <c r="M1004" s="5">
        <v>44692.0</v>
      </c>
      <c r="N1004" s="1" t="s">
        <v>1073</v>
      </c>
    </row>
    <row r="1005" hidden="1">
      <c r="A1005" s="1" t="s">
        <v>53</v>
      </c>
      <c r="B1005" s="1" t="s">
        <v>25</v>
      </c>
      <c r="C1005" s="1" t="s">
        <v>1125</v>
      </c>
      <c r="D1005" s="1" t="str">
        <f>Vlookup(C1005,'Oil &amp; Gas Documents - Canada'!F:M,2,FALSE)</f>
        <v>#N/A</v>
      </c>
      <c r="E1005" s="1" t="str">
        <f>Vlookup(C1005,'Oil &amp; Gas Documents - Canada'!F:N,9,FALSE)</f>
        <v>#N/A</v>
      </c>
      <c r="F1005" s="1" t="s">
        <v>1126</v>
      </c>
      <c r="G1005" s="4" t="str">
        <f>HYPERLINK("http://nimonikapp.com/legislations/7189","http://nimonikapp.com/legislations/7189")</f>
        <v>http://nimonikapp.com/legislations/7189</v>
      </c>
      <c r="H1005" s="1" t="s">
        <v>18</v>
      </c>
      <c r="I1005" s="1" t="s">
        <v>3175</v>
      </c>
      <c r="J1005" s="1" t="s">
        <v>3176</v>
      </c>
      <c r="K1005" s="5">
        <v>44673.0</v>
      </c>
      <c r="L1005" s="5">
        <v>44652.0</v>
      </c>
      <c r="M1005" s="5">
        <v>44692.0</v>
      </c>
      <c r="N1005" s="1" t="s">
        <v>1129</v>
      </c>
    </row>
    <row r="1006" hidden="1">
      <c r="A1006" s="1" t="s">
        <v>73</v>
      </c>
      <c r="B1006" s="1" t="s">
        <v>25</v>
      </c>
      <c r="C1006" s="1" t="s">
        <v>1023</v>
      </c>
      <c r="D1006" s="1" t="str">
        <f>Vlookup(C1006,'Oil &amp; Gas Documents - Canada'!F:M,2,FALSE)</f>
        <v>#N/A</v>
      </c>
      <c r="E1006" s="1" t="str">
        <f>Vlookup(C1006,'Oil &amp; Gas Documents - Canada'!F:N,9,FALSE)</f>
        <v>#N/A</v>
      </c>
      <c r="F1006" s="1" t="s">
        <v>1024</v>
      </c>
      <c r="G1006" s="4" t="str">
        <f>HYPERLINK("http://nimonikapp.com/legislations/280724","http://nimonikapp.com/legislations/280724")</f>
        <v>http://nimonikapp.com/legislations/280724</v>
      </c>
      <c r="H1006" s="1" t="s">
        <v>18</v>
      </c>
      <c r="I1006" s="1" t="s">
        <v>522</v>
      </c>
      <c r="J1006" s="1" t="s">
        <v>523</v>
      </c>
      <c r="K1006" s="5">
        <v>44692.0</v>
      </c>
      <c r="L1006" s="5">
        <v>44683.0</v>
      </c>
      <c r="M1006" s="5">
        <v>44692.0</v>
      </c>
      <c r="N1006" s="1" t="s">
        <v>1027</v>
      </c>
    </row>
    <row r="1007" hidden="1">
      <c r="A1007" s="1" t="s">
        <v>73</v>
      </c>
      <c r="B1007" s="1" t="s">
        <v>25</v>
      </c>
      <c r="C1007" s="1" t="s">
        <v>3177</v>
      </c>
      <c r="D1007" s="1" t="str">
        <f>Vlookup(C1007,'Oil &amp; Gas Documents - Canada'!F:M,2,FALSE)</f>
        <v>#N/A</v>
      </c>
      <c r="E1007" s="1" t="str">
        <f>Vlookup(C1007,'Oil &amp; Gas Documents - Canada'!F:N,9,FALSE)</f>
        <v>#N/A</v>
      </c>
      <c r="F1007" s="1" t="s">
        <v>3178</v>
      </c>
      <c r="G1007" s="4" t="str">
        <f>HYPERLINK("http://nimonikapp.com/legislations/1228","http://nimonikapp.com/legislations/1228")</f>
        <v>http://nimonikapp.com/legislations/1228</v>
      </c>
      <c r="H1007" s="1" t="s">
        <v>18</v>
      </c>
      <c r="I1007" s="1" t="s">
        <v>522</v>
      </c>
      <c r="J1007" s="1" t="s">
        <v>523</v>
      </c>
      <c r="K1007" s="5">
        <v>44692.0</v>
      </c>
      <c r="L1007" s="5">
        <v>44683.0</v>
      </c>
      <c r="M1007" s="5">
        <v>44692.0</v>
      </c>
      <c r="N1007" s="1" t="s">
        <v>521</v>
      </c>
    </row>
    <row r="1008">
      <c r="A1008" s="1" t="s">
        <v>73</v>
      </c>
      <c r="B1008" s="1" t="s">
        <v>25</v>
      </c>
      <c r="C1008" s="1" t="s">
        <v>520</v>
      </c>
      <c r="D1008" s="1" t="str">
        <f>Vlookup(C1008,'Oil &amp; Gas Documents - Canada'!F:M,2,FALSE)</f>
        <v>oil_and_gas</v>
      </c>
      <c r="E1008" s="1" t="str">
        <f>Vlookup(C1008,'Oil &amp; Gas Documents - Canada'!F:N,9,FALSE)</f>
        <v/>
      </c>
      <c r="F1008" s="1" t="s">
        <v>519</v>
      </c>
      <c r="G1008" s="4" t="str">
        <f>HYPERLINK("http://nimonikapp.com/legislations/4846","http://nimonikapp.com/legislations/4846")</f>
        <v>http://nimonikapp.com/legislations/4846</v>
      </c>
      <c r="H1008" s="1" t="s">
        <v>18</v>
      </c>
      <c r="I1008" s="1" t="s">
        <v>522</v>
      </c>
      <c r="J1008" s="1" t="s">
        <v>523</v>
      </c>
      <c r="K1008" s="5">
        <v>44692.0</v>
      </c>
      <c r="L1008" s="5">
        <v>44683.0</v>
      </c>
      <c r="M1008" s="5">
        <v>44692.0</v>
      </c>
      <c r="N1008" s="1" t="s">
        <v>521</v>
      </c>
    </row>
    <row r="1009" hidden="1">
      <c r="A1009" s="1" t="s">
        <v>73</v>
      </c>
      <c r="B1009" s="1" t="s">
        <v>25</v>
      </c>
      <c r="C1009" s="1" t="s">
        <v>3179</v>
      </c>
      <c r="D1009" s="1" t="str">
        <f>Vlookup(C1009,'Oil &amp; Gas Documents - Canada'!F:M,2,FALSE)</f>
        <v>#N/A</v>
      </c>
      <c r="E1009" s="1" t="str">
        <f>Vlookup(C1009,'Oil &amp; Gas Documents - Canada'!F:N,9,FALSE)</f>
        <v>#N/A</v>
      </c>
      <c r="F1009" s="1" t="s">
        <v>3180</v>
      </c>
      <c r="G1009" s="4" t="str">
        <f>HYPERLINK("http://nimonikapp.com/legislations/1227","http://nimonikapp.com/legislations/1227")</f>
        <v>http://nimonikapp.com/legislations/1227</v>
      </c>
      <c r="H1009" s="1" t="s">
        <v>18</v>
      </c>
      <c r="I1009" s="1" t="s">
        <v>522</v>
      </c>
      <c r="J1009" s="1" t="s">
        <v>523</v>
      </c>
      <c r="K1009" s="5">
        <v>44692.0</v>
      </c>
      <c r="L1009" s="5">
        <v>44683.0</v>
      </c>
      <c r="M1009" s="5">
        <v>44692.0</v>
      </c>
      <c r="N1009" s="1" t="s">
        <v>521</v>
      </c>
    </row>
    <row r="1010" hidden="1">
      <c r="A1010" s="1" t="s">
        <v>73</v>
      </c>
      <c r="B1010" s="1" t="s">
        <v>25</v>
      </c>
      <c r="C1010" s="1" t="s">
        <v>3181</v>
      </c>
      <c r="D1010" s="1" t="str">
        <f>Vlookup(C1010,'Oil &amp; Gas Documents - Canada'!F:M,2,FALSE)</f>
        <v>#N/A</v>
      </c>
      <c r="E1010" s="1" t="str">
        <f>Vlookup(C1010,'Oil &amp; Gas Documents - Canada'!F:N,9,FALSE)</f>
        <v>#N/A</v>
      </c>
      <c r="F1010" s="1" t="s">
        <v>3182</v>
      </c>
      <c r="G1010" s="4" t="str">
        <f>HYPERLINK("http://nimonikapp.com/legislations/1224","http://nimonikapp.com/legislations/1224")</f>
        <v>http://nimonikapp.com/legislations/1224</v>
      </c>
      <c r="H1010" s="1" t="s">
        <v>18</v>
      </c>
      <c r="I1010" s="1" t="s">
        <v>522</v>
      </c>
      <c r="J1010" s="1" t="s">
        <v>523</v>
      </c>
      <c r="K1010" s="5">
        <v>44692.0</v>
      </c>
      <c r="L1010" s="5">
        <v>44683.0</v>
      </c>
      <c r="M1010" s="5">
        <v>44692.0</v>
      </c>
      <c r="N1010" s="1" t="s">
        <v>3183</v>
      </c>
    </row>
    <row r="1011" hidden="1">
      <c r="A1011" s="1" t="s">
        <v>73</v>
      </c>
      <c r="B1011" s="1" t="s">
        <v>25</v>
      </c>
      <c r="C1011" s="1" t="s">
        <v>3184</v>
      </c>
      <c r="D1011" s="1" t="str">
        <f>Vlookup(C1011,'Oil &amp; Gas Documents - Canada'!F:M,2,FALSE)</f>
        <v>#N/A</v>
      </c>
      <c r="E1011" s="1" t="str">
        <f>Vlookup(C1011,'Oil &amp; Gas Documents - Canada'!F:N,9,FALSE)</f>
        <v>#N/A</v>
      </c>
      <c r="F1011" s="1" t="s">
        <v>3185</v>
      </c>
      <c r="G1011" s="4" t="str">
        <f>HYPERLINK("http://nimonikapp.com/legislations/676","http://nimonikapp.com/legislations/676")</f>
        <v>http://nimonikapp.com/legislations/676</v>
      </c>
      <c r="H1011" s="1" t="s">
        <v>18</v>
      </c>
      <c r="I1011" s="1" t="s">
        <v>3186</v>
      </c>
      <c r="J1011" s="1" t="s">
        <v>3187</v>
      </c>
      <c r="K1011" s="5">
        <v>44690.0</v>
      </c>
      <c r="L1011" s="5">
        <v>24348.0</v>
      </c>
      <c r="M1011" s="5">
        <v>44692.0</v>
      </c>
    </row>
    <row r="1012" hidden="1">
      <c r="A1012" s="1" t="s">
        <v>73</v>
      </c>
      <c r="B1012" s="1" t="s">
        <v>25</v>
      </c>
      <c r="C1012" s="1" t="s">
        <v>3188</v>
      </c>
      <c r="D1012" s="1" t="str">
        <f>Vlookup(C1012,'Oil &amp; Gas Documents - Canada'!F:M,2,FALSE)</f>
        <v>#N/A</v>
      </c>
      <c r="E1012" s="1" t="str">
        <f>Vlookup(C1012,'Oil &amp; Gas Documents - Canada'!F:N,9,FALSE)</f>
        <v>#N/A</v>
      </c>
      <c r="F1012" s="1" t="s">
        <v>3189</v>
      </c>
      <c r="G1012" s="4" t="str">
        <f>HYPERLINK("http://nimonikapp.com/legislations/1218","http://nimonikapp.com/legislations/1218")</f>
        <v>http://nimonikapp.com/legislations/1218</v>
      </c>
      <c r="H1012" s="1" t="s">
        <v>18</v>
      </c>
      <c r="I1012" s="1" t="s">
        <v>3190</v>
      </c>
      <c r="J1012" s="1" t="s">
        <v>3191</v>
      </c>
      <c r="K1012" s="5">
        <v>44692.0</v>
      </c>
      <c r="L1012" s="5">
        <v>44692.0</v>
      </c>
      <c r="M1012" s="5">
        <v>44692.0</v>
      </c>
      <c r="N1012" s="1" t="s">
        <v>3192</v>
      </c>
    </row>
    <row r="1013" hidden="1">
      <c r="A1013" s="1" t="s">
        <v>73</v>
      </c>
      <c r="B1013" s="1" t="s">
        <v>25</v>
      </c>
      <c r="C1013" s="1" t="s">
        <v>3193</v>
      </c>
      <c r="D1013" s="1" t="str">
        <f>Vlookup(C1013,'Oil &amp; Gas Documents - Canada'!F:M,2,FALSE)</f>
        <v>#N/A</v>
      </c>
      <c r="E1013" s="1" t="str">
        <f>Vlookup(C1013,'Oil &amp; Gas Documents - Canada'!F:N,9,FALSE)</f>
        <v>#N/A</v>
      </c>
      <c r="F1013" s="1" t="s">
        <v>3194</v>
      </c>
      <c r="G1013" s="4" t="str">
        <f>HYPERLINK("http://nimonikapp.com/legislations/140496","http://nimonikapp.com/legislations/140496")</f>
        <v>http://nimonikapp.com/legislations/140496</v>
      </c>
      <c r="H1013" s="1" t="s">
        <v>18</v>
      </c>
      <c r="I1013" s="1" t="s">
        <v>3195</v>
      </c>
      <c r="J1013" s="1" t="s">
        <v>3196</v>
      </c>
      <c r="K1013" s="5">
        <v>44692.0</v>
      </c>
      <c r="L1013" s="5">
        <v>44692.0</v>
      </c>
      <c r="M1013" s="5">
        <v>44692.0</v>
      </c>
    </row>
    <row r="1014" hidden="1">
      <c r="A1014" s="1" t="s">
        <v>73</v>
      </c>
      <c r="B1014" s="1" t="s">
        <v>25</v>
      </c>
      <c r="C1014" s="1" t="s">
        <v>1033</v>
      </c>
      <c r="D1014" s="1" t="str">
        <f>Vlookup(C1014,'Oil &amp; Gas Documents - Canada'!F:M,2,FALSE)</f>
        <v>#N/A</v>
      </c>
      <c r="E1014" s="1" t="str">
        <f>Vlookup(C1014,'Oil &amp; Gas Documents - Canada'!F:N,9,FALSE)</f>
        <v>#N/A</v>
      </c>
      <c r="F1014" s="1" t="s">
        <v>1034</v>
      </c>
      <c r="G1014" s="4" t="str">
        <f t="shared" ref="G1014:G1015" si="24">HYPERLINK("http://nimonikapp.com/legislations/895","http://nimonikapp.com/legislations/895")</f>
        <v>http://nimonikapp.com/legislations/895</v>
      </c>
      <c r="H1014" s="1" t="s">
        <v>18</v>
      </c>
      <c r="I1014" s="1" t="s">
        <v>3197</v>
      </c>
      <c r="J1014" s="1" t="s">
        <v>3198</v>
      </c>
      <c r="K1014" s="5">
        <v>44692.0</v>
      </c>
      <c r="L1014" s="5">
        <v>44676.0</v>
      </c>
      <c r="M1014" s="5">
        <v>44692.0</v>
      </c>
      <c r="N1014" s="1" t="s">
        <v>1037</v>
      </c>
    </row>
    <row r="1015" hidden="1">
      <c r="A1015" s="1" t="s">
        <v>73</v>
      </c>
      <c r="B1015" s="1" t="s">
        <v>25</v>
      </c>
      <c r="C1015" s="1" t="s">
        <v>1033</v>
      </c>
      <c r="D1015" s="1" t="str">
        <f>Vlookup(C1015,'Oil &amp; Gas Documents - Canada'!F:M,2,FALSE)</f>
        <v>#N/A</v>
      </c>
      <c r="E1015" s="1" t="str">
        <f>Vlookup(C1015,'Oil &amp; Gas Documents - Canada'!F:N,9,FALSE)</f>
        <v>#N/A</v>
      </c>
      <c r="F1015" s="1" t="s">
        <v>1034</v>
      </c>
      <c r="G1015" s="4" t="str">
        <f t="shared" si="24"/>
        <v>http://nimonikapp.com/legislations/895</v>
      </c>
      <c r="H1015" s="1" t="s">
        <v>18</v>
      </c>
      <c r="I1015" s="1" t="s">
        <v>3199</v>
      </c>
      <c r="J1015" s="1" t="s">
        <v>3200</v>
      </c>
      <c r="K1015" s="5">
        <v>44692.0</v>
      </c>
      <c r="L1015" s="5">
        <v>44676.0</v>
      </c>
      <c r="M1015" s="5">
        <v>44692.0</v>
      </c>
      <c r="N1015" s="1" t="s">
        <v>1037</v>
      </c>
    </row>
    <row r="1016" hidden="1">
      <c r="A1016" s="1" t="s">
        <v>73</v>
      </c>
      <c r="B1016" s="1" t="s">
        <v>25</v>
      </c>
      <c r="C1016" s="1" t="s">
        <v>1445</v>
      </c>
      <c r="D1016" s="1" t="str">
        <f>Vlookup(C1016,'Oil &amp; Gas Documents - Canada'!F:M,2,FALSE)</f>
        <v>#N/A</v>
      </c>
      <c r="E1016" s="1" t="str">
        <f>Vlookup(C1016,'Oil &amp; Gas Documents - Canada'!F:N,9,FALSE)</f>
        <v>#N/A</v>
      </c>
      <c r="F1016" s="1" t="s">
        <v>1446</v>
      </c>
      <c r="G1016" s="4" t="str">
        <f>HYPERLINK("http://nimonikapp.com/legislations/1206","http://nimonikapp.com/legislations/1206")</f>
        <v>http://nimonikapp.com/legislations/1206</v>
      </c>
      <c r="H1016" s="1" t="s">
        <v>18</v>
      </c>
      <c r="I1016" s="1" t="s">
        <v>3201</v>
      </c>
      <c r="J1016" s="1" t="s">
        <v>1443</v>
      </c>
      <c r="K1016" s="5">
        <v>44692.0</v>
      </c>
      <c r="L1016" s="5">
        <v>44699.0</v>
      </c>
      <c r="M1016" s="5">
        <v>44692.0</v>
      </c>
      <c r="N1016" s="1" t="s">
        <v>1447</v>
      </c>
    </row>
    <row r="1017" hidden="1">
      <c r="A1017" s="1" t="s">
        <v>73</v>
      </c>
      <c r="B1017" s="1" t="s">
        <v>25</v>
      </c>
      <c r="C1017" s="1" t="s">
        <v>3202</v>
      </c>
      <c r="D1017" s="1" t="str">
        <f>Vlookup(C1017,'Oil &amp; Gas Documents - Canada'!F:M,2,FALSE)</f>
        <v>#N/A</v>
      </c>
      <c r="E1017" s="1" t="str">
        <f>Vlookup(C1017,'Oil &amp; Gas Documents - Canada'!F:N,9,FALSE)</f>
        <v>#N/A</v>
      </c>
      <c r="F1017" s="1" t="s">
        <v>3203</v>
      </c>
      <c r="G1017" s="4" t="str">
        <f>HYPERLINK("http://nimonikapp.com/legislations/1207","http://nimonikapp.com/legislations/1207")</f>
        <v>http://nimonikapp.com/legislations/1207</v>
      </c>
      <c r="H1017" s="1" t="s">
        <v>18</v>
      </c>
      <c r="I1017" s="1" t="s">
        <v>3201</v>
      </c>
      <c r="J1017" s="1" t="s">
        <v>1443</v>
      </c>
      <c r="K1017" s="5">
        <v>44692.0</v>
      </c>
      <c r="L1017" s="5">
        <v>44699.0</v>
      </c>
      <c r="M1017" s="5">
        <v>44692.0</v>
      </c>
      <c r="N1017" s="1" t="s">
        <v>3204</v>
      </c>
    </row>
    <row r="1018" hidden="1">
      <c r="A1018" s="1" t="s">
        <v>73</v>
      </c>
      <c r="B1018" s="1" t="s">
        <v>25</v>
      </c>
      <c r="C1018" s="1" t="s">
        <v>3205</v>
      </c>
      <c r="D1018" s="1" t="str">
        <f>Vlookup(C1018,'Oil &amp; Gas Documents - Canada'!F:M,2,FALSE)</f>
        <v>#N/A</v>
      </c>
      <c r="E1018" s="1" t="str">
        <f>Vlookup(C1018,'Oil &amp; Gas Documents - Canada'!F:N,9,FALSE)</f>
        <v>#N/A</v>
      </c>
      <c r="F1018" s="1" t="s">
        <v>3206</v>
      </c>
      <c r="G1018" s="4" t="str">
        <f>HYPERLINK("http://nimonikapp.com/legislations/74","http://nimonikapp.com/legislations/74")</f>
        <v>http://nimonikapp.com/legislations/74</v>
      </c>
      <c r="H1018" s="1" t="s">
        <v>18</v>
      </c>
      <c r="I1018" s="1" t="s">
        <v>3207</v>
      </c>
      <c r="J1018" s="1" t="s">
        <v>3208</v>
      </c>
      <c r="K1018" s="5">
        <v>44692.0</v>
      </c>
      <c r="M1018" s="5">
        <v>44692.0</v>
      </c>
      <c r="N1018" s="1" t="s">
        <v>3209</v>
      </c>
    </row>
    <row r="1019" hidden="1">
      <c r="A1019" s="1" t="s">
        <v>73</v>
      </c>
      <c r="B1019" s="1" t="s">
        <v>25</v>
      </c>
      <c r="C1019" s="1" t="s">
        <v>1045</v>
      </c>
      <c r="D1019" s="1" t="str">
        <f>Vlookup(C1019,'Oil &amp; Gas Documents - Canada'!F:M,2,FALSE)</f>
        <v>#N/A</v>
      </c>
      <c r="E1019" s="1" t="str">
        <f>Vlookup(C1019,'Oil &amp; Gas Documents - Canada'!F:N,9,FALSE)</f>
        <v>#N/A</v>
      </c>
      <c r="F1019" s="1" t="s">
        <v>1046</v>
      </c>
      <c r="G1019" s="4" t="str">
        <f>HYPERLINK("http://nimonikapp.com/legislations/321966","http://nimonikapp.com/legislations/321966")</f>
        <v>http://nimonikapp.com/legislations/321966</v>
      </c>
      <c r="H1019" s="1" t="s">
        <v>18</v>
      </c>
      <c r="I1019" s="1" t="s">
        <v>3210</v>
      </c>
      <c r="J1019" s="1" t="s">
        <v>1048</v>
      </c>
      <c r="K1019" s="5">
        <v>44692.0</v>
      </c>
      <c r="L1019" s="5">
        <v>44670.0</v>
      </c>
      <c r="M1019" s="5">
        <v>44692.0</v>
      </c>
      <c r="N1019" s="1" t="s">
        <v>1049</v>
      </c>
    </row>
    <row r="1020" hidden="1">
      <c r="A1020" s="1" t="s">
        <v>73</v>
      </c>
      <c r="B1020" s="1" t="s">
        <v>25</v>
      </c>
      <c r="C1020" s="1" t="s">
        <v>2589</v>
      </c>
      <c r="D1020" s="1" t="str">
        <f>Vlookup(C1020,'Oil &amp; Gas Documents - Canada'!F:M,2,FALSE)</f>
        <v>#N/A</v>
      </c>
      <c r="E1020" s="1" t="str">
        <f>Vlookup(C1020,'Oil &amp; Gas Documents - Canada'!F:N,9,FALSE)</f>
        <v>#N/A</v>
      </c>
      <c r="F1020" s="1" t="s">
        <v>2590</v>
      </c>
      <c r="G1020" s="4" t="str">
        <f>HYPERLINK("http://nimonikapp.com/legislations/13493","http://nimonikapp.com/legislations/13493")</f>
        <v>http://nimonikapp.com/legislations/13493</v>
      </c>
      <c r="H1020" s="1" t="s">
        <v>18</v>
      </c>
      <c r="I1020" s="1" t="s">
        <v>3211</v>
      </c>
      <c r="J1020" s="1" t="s">
        <v>3212</v>
      </c>
      <c r="K1020" s="5">
        <v>44692.0</v>
      </c>
      <c r="L1020" s="5">
        <v>44933.0</v>
      </c>
      <c r="M1020" s="5">
        <v>44692.0</v>
      </c>
      <c r="N1020" s="1" t="s">
        <v>2593</v>
      </c>
    </row>
    <row r="1021" hidden="1">
      <c r="A1021" s="1" t="s">
        <v>73</v>
      </c>
      <c r="B1021" s="1" t="s">
        <v>25</v>
      </c>
      <c r="C1021" s="1" t="s">
        <v>2232</v>
      </c>
      <c r="D1021" s="1" t="str">
        <f>Vlookup(C1021,'Oil &amp; Gas Documents - Canada'!F:M,2,FALSE)</f>
        <v>#N/A</v>
      </c>
      <c r="E1021" s="1" t="str">
        <f>Vlookup(C1021,'Oil &amp; Gas Documents - Canada'!F:N,9,FALSE)</f>
        <v>#N/A</v>
      </c>
      <c r="F1021" s="1" t="s">
        <v>2233</v>
      </c>
      <c r="G1021" s="4" t="str">
        <f>HYPERLINK("http://nimonikapp.com/legislations/13492","http://nimonikapp.com/legislations/13492")</f>
        <v>http://nimonikapp.com/legislations/13492</v>
      </c>
      <c r="H1021" s="1" t="s">
        <v>18</v>
      </c>
      <c r="I1021" s="1" t="s">
        <v>3213</v>
      </c>
      <c r="J1021" s="1" t="s">
        <v>2575</v>
      </c>
      <c r="K1021" s="5">
        <v>44692.0</v>
      </c>
      <c r="L1021" s="5">
        <v>44683.0</v>
      </c>
      <c r="M1021" s="5">
        <v>44692.0</v>
      </c>
      <c r="N1021" s="1" t="s">
        <v>2234</v>
      </c>
    </row>
    <row r="1022" hidden="1">
      <c r="A1022" s="1" t="s">
        <v>73</v>
      </c>
      <c r="B1022" s="1" t="s">
        <v>25</v>
      </c>
      <c r="C1022" s="1" t="s">
        <v>2576</v>
      </c>
      <c r="D1022" s="1" t="str">
        <f>Vlookup(C1022,'Oil &amp; Gas Documents - Canada'!F:M,2,FALSE)</f>
        <v>#N/A</v>
      </c>
      <c r="E1022" s="1" t="str">
        <f>Vlookup(C1022,'Oil &amp; Gas Documents - Canada'!F:N,9,FALSE)</f>
        <v>#N/A</v>
      </c>
      <c r="F1022" s="1" t="s">
        <v>2577</v>
      </c>
      <c r="G1022" s="4" t="str">
        <f>HYPERLINK("http://nimonikapp.com/legislations/1205","http://nimonikapp.com/legislations/1205")</f>
        <v>http://nimonikapp.com/legislations/1205</v>
      </c>
      <c r="H1022" s="1" t="s">
        <v>18</v>
      </c>
      <c r="I1022" s="1" t="s">
        <v>3213</v>
      </c>
      <c r="J1022" s="1" t="s">
        <v>2575</v>
      </c>
      <c r="K1022" s="5">
        <v>44692.0</v>
      </c>
      <c r="L1022" s="5">
        <v>44683.0</v>
      </c>
      <c r="M1022" s="5">
        <v>44692.0</v>
      </c>
      <c r="N1022" s="1" t="s">
        <v>2578</v>
      </c>
    </row>
    <row r="1023" hidden="1">
      <c r="A1023" s="1" t="s">
        <v>73</v>
      </c>
      <c r="B1023" s="1" t="s">
        <v>25</v>
      </c>
      <c r="C1023" s="1" t="s">
        <v>1709</v>
      </c>
      <c r="D1023" s="1" t="str">
        <f>Vlookup(C1023,'Oil &amp; Gas Documents - Canada'!F:M,2,FALSE)</f>
        <v>#N/A</v>
      </c>
      <c r="E1023" s="1" t="str">
        <f>Vlookup(C1023,'Oil &amp; Gas Documents - Canada'!F:N,9,FALSE)</f>
        <v>#N/A</v>
      </c>
      <c r="F1023" s="1" t="s">
        <v>1710</v>
      </c>
      <c r="G1023" s="4" t="str">
        <f>HYPERLINK("http://nimonikapp.com/legislations/321972","http://nimonikapp.com/legislations/321972")</f>
        <v>http://nimonikapp.com/legislations/321972</v>
      </c>
      <c r="H1023" s="1" t="s">
        <v>18</v>
      </c>
      <c r="I1023" s="1" t="s">
        <v>3214</v>
      </c>
      <c r="J1023" s="1" t="s">
        <v>1712</v>
      </c>
      <c r="K1023" s="5">
        <v>44692.0</v>
      </c>
      <c r="L1023" s="5">
        <v>44677.0</v>
      </c>
      <c r="M1023" s="5">
        <v>44692.0</v>
      </c>
      <c r="N1023" s="1" t="s">
        <v>1713</v>
      </c>
    </row>
    <row r="1024">
      <c r="A1024" s="1" t="s">
        <v>53</v>
      </c>
      <c r="B1024" s="1" t="s">
        <v>15</v>
      </c>
      <c r="C1024" s="1" t="s">
        <v>525</v>
      </c>
      <c r="D1024" s="1" t="str">
        <f>Vlookup(C1024,'Oil &amp; Gas Documents - Canada'!F:M,2,FALSE)</f>
        <v>oil_and_gas</v>
      </c>
      <c r="E1024" s="1" t="str">
        <f>Vlookup(C1024,'Oil &amp; Gas Documents - Canada'!F:N,9,FALSE)</f>
        <v/>
      </c>
      <c r="F1024" s="1" t="s">
        <v>524</v>
      </c>
      <c r="G1024" s="4" t="str">
        <f>HYPERLINK("http://nimonikapp.com/legislations/348360","http://nimonikapp.com/legislations/348360")</f>
        <v>http://nimonikapp.com/legislations/348360</v>
      </c>
      <c r="H1024" s="1" t="s">
        <v>52</v>
      </c>
      <c r="K1024" s="5">
        <v>44687.0</v>
      </c>
      <c r="L1024" s="5">
        <v>44927.0</v>
      </c>
      <c r="M1024" s="5">
        <v>44691.0</v>
      </c>
    </row>
    <row r="1025" hidden="1">
      <c r="A1025" s="1" t="s">
        <v>1105</v>
      </c>
      <c r="B1025" s="1" t="s">
        <v>15</v>
      </c>
      <c r="C1025" s="1" t="s">
        <v>3215</v>
      </c>
      <c r="D1025" s="1" t="str">
        <f>Vlookup(C1025,'Oil &amp; Gas Documents - Canada'!F:M,2,FALSE)</f>
        <v>#N/A</v>
      </c>
      <c r="E1025" s="1" t="str">
        <f>Vlookup(C1025,'Oil &amp; Gas Documents - Canada'!F:N,9,FALSE)</f>
        <v>#N/A</v>
      </c>
      <c r="F1025" s="1" t="s">
        <v>3216</v>
      </c>
      <c r="G1025" s="4" t="str">
        <f>HYPERLINK("http://nimonikapp.com/legislations/348304","http://nimonikapp.com/legislations/348304")</f>
        <v>http://nimonikapp.com/legislations/348304</v>
      </c>
      <c r="H1025" s="1" t="s">
        <v>516</v>
      </c>
      <c r="K1025" s="5">
        <v>44684.0</v>
      </c>
      <c r="M1025" s="5">
        <v>44691.0</v>
      </c>
    </row>
    <row r="1026" hidden="1">
      <c r="A1026" s="1" t="s">
        <v>21</v>
      </c>
      <c r="B1026" s="1" t="s">
        <v>15</v>
      </c>
      <c r="C1026" s="1" t="s">
        <v>3217</v>
      </c>
      <c r="D1026" s="1" t="str">
        <f>Vlookup(C1026,'Oil &amp; Gas Documents - Canada'!F:M,2,FALSE)</f>
        <v>#N/A</v>
      </c>
      <c r="E1026" s="1" t="str">
        <f>Vlookup(C1026,'Oil &amp; Gas Documents - Canada'!F:N,9,FALSE)</f>
        <v>#N/A</v>
      </c>
      <c r="F1026" s="1" t="s">
        <v>3218</v>
      </c>
      <c r="G1026" s="4" t="str">
        <f>HYPERLINK("http://nimonikapp.com/legislations/348305","http://nimonikapp.com/legislations/348305")</f>
        <v>http://nimonikapp.com/legislations/348305</v>
      </c>
      <c r="H1026" s="1" t="s">
        <v>516</v>
      </c>
      <c r="K1026" s="5">
        <v>44686.0</v>
      </c>
      <c r="M1026" s="5">
        <v>44691.0</v>
      </c>
    </row>
    <row r="1027" hidden="1">
      <c r="A1027" s="1" t="s">
        <v>73</v>
      </c>
      <c r="B1027" s="1" t="s">
        <v>15</v>
      </c>
      <c r="C1027" s="1" t="s">
        <v>3219</v>
      </c>
      <c r="D1027" s="1" t="str">
        <f>Vlookup(C1027,'Oil &amp; Gas Documents - Canada'!F:M,2,FALSE)</f>
        <v>#N/A</v>
      </c>
      <c r="E1027" s="1" t="str">
        <f>Vlookup(C1027,'Oil &amp; Gas Documents - Canada'!F:N,9,FALSE)</f>
        <v>#N/A</v>
      </c>
      <c r="F1027" s="1" t="s">
        <v>3220</v>
      </c>
      <c r="G1027" s="4" t="str">
        <f>HYPERLINK("http://nimonikapp.com/legislations/348347","http://nimonikapp.com/legislations/348347")</f>
        <v>http://nimonikapp.com/legislations/348347</v>
      </c>
      <c r="H1027" s="1" t="s">
        <v>516</v>
      </c>
      <c r="K1027" s="5">
        <v>44688.0</v>
      </c>
      <c r="M1027" s="5">
        <v>44691.0</v>
      </c>
    </row>
    <row r="1028" hidden="1">
      <c r="A1028" s="1" t="s">
        <v>53</v>
      </c>
      <c r="B1028" s="1" t="s">
        <v>25</v>
      </c>
      <c r="C1028" s="1" t="s">
        <v>3221</v>
      </c>
      <c r="D1028" s="1" t="str">
        <f>Vlookup(C1028,'Oil &amp; Gas Documents - Canada'!F:M,2,FALSE)</f>
        <v>#N/A</v>
      </c>
      <c r="E1028" s="1" t="str">
        <f>Vlookup(C1028,'Oil &amp; Gas Documents - Canada'!F:N,9,FALSE)</f>
        <v>#N/A</v>
      </c>
      <c r="F1028" s="1" t="s">
        <v>3222</v>
      </c>
      <c r="G1028" s="4" t="str">
        <f>HYPERLINK("http://nimonikapp.com/legislations/314870","http://nimonikapp.com/legislations/314870")</f>
        <v>http://nimonikapp.com/legislations/314870</v>
      </c>
      <c r="H1028" s="1" t="s">
        <v>18</v>
      </c>
      <c r="I1028" s="1" t="s">
        <v>3223</v>
      </c>
      <c r="J1028" s="1" t="s">
        <v>3224</v>
      </c>
      <c r="K1028" s="5">
        <v>44673.0</v>
      </c>
      <c r="L1028" s="5">
        <v>44673.0</v>
      </c>
      <c r="M1028" s="5">
        <v>44691.0</v>
      </c>
      <c r="N1028" s="1" t="s">
        <v>3225</v>
      </c>
    </row>
    <row r="1029" hidden="1">
      <c r="A1029" s="1" t="s">
        <v>53</v>
      </c>
      <c r="B1029" s="1" t="s">
        <v>25</v>
      </c>
      <c r="C1029" s="1" t="s">
        <v>3226</v>
      </c>
      <c r="D1029" s="1" t="str">
        <f>Vlookup(C1029,'Oil &amp; Gas Documents - Canada'!F:M,2,FALSE)</f>
        <v>#N/A</v>
      </c>
      <c r="E1029" s="1" t="str">
        <f>Vlookup(C1029,'Oil &amp; Gas Documents - Canada'!F:N,9,FALSE)</f>
        <v>#N/A</v>
      </c>
      <c r="F1029" s="1" t="s">
        <v>32</v>
      </c>
      <c r="G1029" s="4" t="str">
        <f>HYPERLINK("http://nimonikapp.com/legislations/15538","http://nimonikapp.com/legislations/15538")</f>
        <v>http://nimonikapp.com/legislations/15538</v>
      </c>
      <c r="H1029" s="1" t="s">
        <v>18</v>
      </c>
      <c r="I1029" s="1" t="s">
        <v>3227</v>
      </c>
      <c r="J1029" s="1" t="s">
        <v>3228</v>
      </c>
      <c r="K1029" s="5">
        <v>44673.0</v>
      </c>
      <c r="L1029" s="5">
        <v>44673.0</v>
      </c>
      <c r="M1029" s="5">
        <v>44691.0</v>
      </c>
    </row>
    <row r="1030" hidden="1">
      <c r="A1030" s="1" t="s">
        <v>53</v>
      </c>
      <c r="B1030" s="1" t="s">
        <v>25</v>
      </c>
      <c r="C1030" s="1" t="s">
        <v>3229</v>
      </c>
      <c r="D1030" s="1" t="str">
        <f>Vlookup(C1030,'Oil &amp; Gas Documents - Canada'!F:M,2,FALSE)</f>
        <v>#N/A</v>
      </c>
      <c r="E1030" s="1" t="str">
        <f>Vlookup(C1030,'Oil &amp; Gas Documents - Canada'!F:N,9,FALSE)</f>
        <v>#N/A</v>
      </c>
      <c r="F1030" s="1" t="s">
        <v>3230</v>
      </c>
      <c r="G1030" s="4" t="str">
        <f>HYPERLINK("http://nimonikapp.com/legislations/15562","http://nimonikapp.com/legislations/15562")</f>
        <v>http://nimonikapp.com/legislations/15562</v>
      </c>
      <c r="H1030" s="1" t="s">
        <v>18</v>
      </c>
      <c r="I1030" s="1" t="s">
        <v>3231</v>
      </c>
      <c r="J1030" s="1" t="s">
        <v>3232</v>
      </c>
      <c r="K1030" s="5">
        <v>44673.0</v>
      </c>
      <c r="L1030" s="5">
        <v>44673.0</v>
      </c>
      <c r="M1030" s="5">
        <v>44691.0</v>
      </c>
    </row>
    <row r="1031" hidden="1">
      <c r="A1031" s="1" t="s">
        <v>53</v>
      </c>
      <c r="B1031" s="1" t="s">
        <v>25</v>
      </c>
      <c r="C1031" s="1" t="s">
        <v>3233</v>
      </c>
      <c r="D1031" s="1" t="str">
        <f>Vlookup(C1031,'Oil &amp; Gas Documents - Canada'!F:M,2,FALSE)</f>
        <v>#N/A</v>
      </c>
      <c r="E1031" s="1" t="str">
        <f>Vlookup(C1031,'Oil &amp; Gas Documents - Canada'!F:N,9,FALSE)</f>
        <v>#N/A</v>
      </c>
      <c r="F1031" s="1" t="s">
        <v>3234</v>
      </c>
      <c r="G1031" s="4" t="str">
        <f>HYPERLINK("http://nimonikapp.com/legislations/15591","http://nimonikapp.com/legislations/15591")</f>
        <v>http://nimonikapp.com/legislations/15591</v>
      </c>
      <c r="H1031" s="1" t="s">
        <v>18</v>
      </c>
      <c r="I1031" s="1" t="s">
        <v>3235</v>
      </c>
      <c r="J1031" s="1" t="s">
        <v>3236</v>
      </c>
      <c r="K1031" s="5">
        <v>44673.0</v>
      </c>
      <c r="L1031" s="5">
        <v>44673.0</v>
      </c>
      <c r="M1031" s="5">
        <v>44691.0</v>
      </c>
      <c r="N1031" s="1" t="s">
        <v>3237</v>
      </c>
    </row>
    <row r="1032" hidden="1">
      <c r="A1032" s="1" t="s">
        <v>53</v>
      </c>
      <c r="B1032" s="1" t="s">
        <v>25</v>
      </c>
      <c r="C1032" s="1" t="s">
        <v>3238</v>
      </c>
      <c r="D1032" s="1" t="str">
        <f>Vlookup(C1032,'Oil &amp; Gas Documents - Canada'!F:M,2,FALSE)</f>
        <v>#N/A</v>
      </c>
      <c r="E1032" s="1" t="str">
        <f>Vlookup(C1032,'Oil &amp; Gas Documents - Canada'!F:N,9,FALSE)</f>
        <v>#N/A</v>
      </c>
      <c r="F1032" s="1" t="s">
        <v>2660</v>
      </c>
      <c r="G1032" s="4" t="str">
        <f>HYPERLINK("http://nimonikapp.com/legislations/15565","http://nimonikapp.com/legislations/15565")</f>
        <v>http://nimonikapp.com/legislations/15565</v>
      </c>
      <c r="H1032" s="1" t="s">
        <v>18</v>
      </c>
      <c r="I1032" s="1" t="s">
        <v>3239</v>
      </c>
      <c r="J1032" s="1" t="s">
        <v>3240</v>
      </c>
      <c r="K1032" s="5">
        <v>44673.0</v>
      </c>
      <c r="L1032" s="5">
        <v>44673.0</v>
      </c>
      <c r="M1032" s="5">
        <v>44691.0</v>
      </c>
      <c r="N1032" s="1" t="s">
        <v>3241</v>
      </c>
    </row>
    <row r="1033" hidden="1">
      <c r="A1033" s="1" t="s">
        <v>53</v>
      </c>
      <c r="B1033" s="1" t="s">
        <v>25</v>
      </c>
      <c r="C1033" s="1" t="s">
        <v>1125</v>
      </c>
      <c r="D1033" s="1" t="str">
        <f>Vlookup(C1033,'Oil &amp; Gas Documents - Canada'!F:M,2,FALSE)</f>
        <v>#N/A</v>
      </c>
      <c r="E1033" s="1" t="str">
        <f>Vlookup(C1033,'Oil &amp; Gas Documents - Canada'!F:N,9,FALSE)</f>
        <v>#N/A</v>
      </c>
      <c r="F1033" s="1" t="s">
        <v>1126</v>
      </c>
      <c r="G1033" s="4" t="str">
        <f>HYPERLINK("http://nimonikapp.com/legislations/7189","http://nimonikapp.com/legislations/7189")</f>
        <v>http://nimonikapp.com/legislations/7189</v>
      </c>
      <c r="H1033" s="1" t="s">
        <v>18</v>
      </c>
      <c r="I1033" s="1" t="s">
        <v>3242</v>
      </c>
      <c r="J1033" s="1" t="s">
        <v>3243</v>
      </c>
      <c r="K1033" s="5">
        <v>44673.0</v>
      </c>
      <c r="L1033" s="5">
        <v>44673.0</v>
      </c>
      <c r="M1033" s="5">
        <v>44691.0</v>
      </c>
      <c r="N1033" s="1" t="s">
        <v>1129</v>
      </c>
    </row>
    <row r="1034" hidden="1">
      <c r="A1034" s="1" t="s">
        <v>53</v>
      </c>
      <c r="B1034" s="1" t="s">
        <v>25</v>
      </c>
      <c r="C1034" s="1" t="s">
        <v>1153</v>
      </c>
      <c r="D1034" s="1" t="str">
        <f>Vlookup(C1034,'Oil &amp; Gas Documents - Canada'!F:M,2,FALSE)</f>
        <v>#N/A</v>
      </c>
      <c r="E1034" s="1" t="str">
        <f>Vlookup(C1034,'Oil &amp; Gas Documents - Canada'!F:N,9,FALSE)</f>
        <v>#N/A</v>
      </c>
      <c r="F1034" s="1" t="s">
        <v>1154</v>
      </c>
      <c r="G1034" s="4" t="str">
        <f>HYPERLINK("http://nimonikapp.com/legislations/263","http://nimonikapp.com/legislations/263")</f>
        <v>http://nimonikapp.com/legislations/263</v>
      </c>
      <c r="H1034" s="1" t="s">
        <v>18</v>
      </c>
      <c r="I1034" s="1" t="s">
        <v>3244</v>
      </c>
      <c r="J1034" s="1" t="s">
        <v>3245</v>
      </c>
      <c r="K1034" s="5">
        <v>44673.0</v>
      </c>
      <c r="L1034" s="5">
        <v>44673.0</v>
      </c>
      <c r="M1034" s="5">
        <v>44691.0</v>
      </c>
      <c r="N1034" s="1" t="s">
        <v>1157</v>
      </c>
    </row>
    <row r="1035" hidden="1">
      <c r="A1035" s="1" t="s">
        <v>73</v>
      </c>
      <c r="B1035" s="1" t="s">
        <v>25</v>
      </c>
      <c r="C1035" s="1" t="s">
        <v>3246</v>
      </c>
      <c r="D1035" s="1" t="str">
        <f>Vlookup(C1035,'Oil &amp; Gas Documents - Canada'!F:M,2,FALSE)</f>
        <v>#N/A</v>
      </c>
      <c r="E1035" s="1" t="str">
        <f>Vlookup(C1035,'Oil &amp; Gas Documents - Canada'!F:N,9,FALSE)</f>
        <v>#N/A</v>
      </c>
      <c r="F1035" s="1" t="s">
        <v>3247</v>
      </c>
      <c r="G1035" s="4" t="str">
        <f>HYPERLINK("http://nimonikapp.com/legislations/420","http://nimonikapp.com/legislations/420")</f>
        <v>http://nimonikapp.com/legislations/420</v>
      </c>
      <c r="H1035" s="1" t="s">
        <v>18</v>
      </c>
      <c r="I1035" s="1" t="s">
        <v>3248</v>
      </c>
      <c r="J1035" s="1" t="s">
        <v>3249</v>
      </c>
      <c r="K1035" s="5">
        <v>44688.0</v>
      </c>
      <c r="M1035" s="5">
        <v>44691.0</v>
      </c>
    </row>
    <row r="1036" hidden="1">
      <c r="A1036" s="1" t="s">
        <v>73</v>
      </c>
      <c r="B1036" s="1" t="s">
        <v>364</v>
      </c>
      <c r="C1036" s="1" t="s">
        <v>3250</v>
      </c>
      <c r="D1036" s="1" t="str">
        <f>Vlookup(C1036,'Oil &amp; Gas Documents - Canada'!F:M,2,FALSE)</f>
        <v>#N/A</v>
      </c>
      <c r="E1036" s="1" t="str">
        <f>Vlookup(C1036,'Oil &amp; Gas Documents - Canada'!F:N,9,FALSE)</f>
        <v>#N/A</v>
      </c>
      <c r="F1036" s="1" t="s">
        <v>3251</v>
      </c>
      <c r="G1036" s="4" t="str">
        <f>HYPERLINK("http://nimonikapp.com/legislations/344740","http://nimonikapp.com/legislations/344740")</f>
        <v>http://nimonikapp.com/legislations/344740</v>
      </c>
      <c r="H1036" s="1" t="s">
        <v>356</v>
      </c>
      <c r="I1036" s="1" t="s">
        <v>3133</v>
      </c>
      <c r="J1036" s="1" t="s">
        <v>3134</v>
      </c>
      <c r="K1036" s="5">
        <v>44688.0</v>
      </c>
      <c r="L1036" s="5">
        <v>44670.0</v>
      </c>
      <c r="M1036" s="5">
        <v>44691.0</v>
      </c>
      <c r="N1036" s="1" t="s">
        <v>3252</v>
      </c>
    </row>
    <row r="1037" hidden="1">
      <c r="A1037" s="1" t="s">
        <v>14</v>
      </c>
      <c r="B1037" s="1" t="s">
        <v>352</v>
      </c>
      <c r="C1037" s="1" t="s">
        <v>3253</v>
      </c>
      <c r="D1037" s="1" t="str">
        <f>Vlookup(C1037,'Oil &amp; Gas Documents - Canada'!F:M,2,FALSE)</f>
        <v>#N/A</v>
      </c>
      <c r="E1037" s="1" t="str">
        <f>Vlookup(C1037,'Oil &amp; Gas Documents - Canada'!F:N,9,FALSE)</f>
        <v>#N/A</v>
      </c>
      <c r="F1037" s="1" t="s">
        <v>3254</v>
      </c>
      <c r="G1037" s="4" t="str">
        <f>HYPERLINK("http://nimonikapp.com/legislations/15274","http://nimonikapp.com/legislations/15274")</f>
        <v>http://nimonikapp.com/legislations/15274</v>
      </c>
      <c r="H1037" s="1" t="s">
        <v>356</v>
      </c>
      <c r="I1037" s="1" t="s">
        <v>3255</v>
      </c>
      <c r="J1037" s="1" t="s">
        <v>3256</v>
      </c>
      <c r="K1037" s="5">
        <v>44687.0</v>
      </c>
      <c r="L1037" s="5">
        <v>44679.0</v>
      </c>
      <c r="M1037" s="5">
        <v>44690.0</v>
      </c>
      <c r="N1037" s="1" t="s">
        <v>3257</v>
      </c>
    </row>
    <row r="1038" hidden="1">
      <c r="A1038" s="1" t="s">
        <v>70</v>
      </c>
      <c r="B1038" s="1" t="s">
        <v>352</v>
      </c>
      <c r="C1038" s="1" t="s">
        <v>3258</v>
      </c>
      <c r="D1038" s="1" t="str">
        <f>Vlookup(C1038,'Oil &amp; Gas Documents - Canada'!F:M,2,FALSE)</f>
        <v>#N/A</v>
      </c>
      <c r="E1038" s="1" t="str">
        <f>Vlookup(C1038,'Oil &amp; Gas Documents - Canada'!F:N,9,FALSE)</f>
        <v>#N/A</v>
      </c>
      <c r="F1038" s="1" t="s">
        <v>3259</v>
      </c>
      <c r="G1038" s="4" t="str">
        <f>HYPERLINK("http://nimonikapp.com/legislations/155239","http://nimonikapp.com/legislations/155239")</f>
        <v>http://nimonikapp.com/legislations/155239</v>
      </c>
      <c r="H1038" s="1" t="s">
        <v>18</v>
      </c>
      <c r="I1038" s="1" t="s">
        <v>3260</v>
      </c>
      <c r="J1038" s="1" t="s">
        <v>3261</v>
      </c>
      <c r="K1038" s="5">
        <v>44695.0</v>
      </c>
      <c r="L1038" s="5">
        <v>44678.0</v>
      </c>
      <c r="M1038" s="5">
        <v>44687.0</v>
      </c>
      <c r="N1038" s="1" t="s">
        <v>3262</v>
      </c>
    </row>
    <row r="1039" hidden="1">
      <c r="A1039" s="1" t="s">
        <v>70</v>
      </c>
      <c r="B1039" s="1" t="s">
        <v>25</v>
      </c>
      <c r="C1039" s="1" t="s">
        <v>3263</v>
      </c>
      <c r="D1039" s="1" t="str">
        <f>Vlookup(C1039,'Oil &amp; Gas Documents - Canada'!F:M,2,FALSE)</f>
        <v>#N/A</v>
      </c>
      <c r="E1039" s="1" t="str">
        <f>Vlookup(C1039,'Oil &amp; Gas Documents - Canada'!F:N,9,FALSE)</f>
        <v>#N/A</v>
      </c>
      <c r="F1039" s="1" t="s">
        <v>3264</v>
      </c>
      <c r="G1039" s="4" t="str">
        <f>HYPERLINK("http://nimonikapp.com/legislations/4020","http://nimonikapp.com/legislations/4020")</f>
        <v>http://nimonikapp.com/legislations/4020</v>
      </c>
      <c r="H1039" s="1" t="s">
        <v>18</v>
      </c>
      <c r="I1039" s="1" t="s">
        <v>3265</v>
      </c>
      <c r="J1039" s="1" t="s">
        <v>3266</v>
      </c>
      <c r="K1039" s="5">
        <v>44695.0</v>
      </c>
      <c r="L1039" s="5">
        <v>44680.0</v>
      </c>
      <c r="M1039" s="5">
        <v>44687.0</v>
      </c>
      <c r="N1039" s="1" t="s">
        <v>3267</v>
      </c>
    </row>
    <row r="1040" hidden="1">
      <c r="A1040" s="1" t="s">
        <v>70</v>
      </c>
      <c r="B1040" s="1" t="s">
        <v>25</v>
      </c>
      <c r="C1040" s="1" t="s">
        <v>3268</v>
      </c>
      <c r="D1040" s="1" t="str">
        <f>Vlookup(C1040,'Oil &amp; Gas Documents - Canada'!F:M,2,FALSE)</f>
        <v>#N/A</v>
      </c>
      <c r="E1040" s="1" t="str">
        <f>Vlookup(C1040,'Oil &amp; Gas Documents - Canada'!F:N,9,FALSE)</f>
        <v>#N/A</v>
      </c>
      <c r="F1040" s="1" t="s">
        <v>3269</v>
      </c>
      <c r="G1040" s="4" t="str">
        <f>HYPERLINK("http://nimonikapp.com/legislations/685","http://nimonikapp.com/legislations/685")</f>
        <v>http://nimonikapp.com/legislations/685</v>
      </c>
      <c r="H1040" s="1" t="s">
        <v>18</v>
      </c>
      <c r="I1040" s="1" t="s">
        <v>3270</v>
      </c>
      <c r="J1040" s="1" t="s">
        <v>3271</v>
      </c>
      <c r="K1040" s="5">
        <v>44681.0</v>
      </c>
      <c r="M1040" s="5">
        <v>44687.0</v>
      </c>
      <c r="N1040" s="1" t="s">
        <v>3272</v>
      </c>
    </row>
    <row r="1041" hidden="1">
      <c r="A1041" s="1" t="s">
        <v>70</v>
      </c>
      <c r="B1041" s="1" t="s">
        <v>25</v>
      </c>
      <c r="C1041" s="1" t="s">
        <v>3273</v>
      </c>
      <c r="D1041" s="1" t="str">
        <f>Vlookup(C1041,'Oil &amp; Gas Documents - Canada'!F:M,2,FALSE)</f>
        <v>#N/A</v>
      </c>
      <c r="E1041" s="1" t="str">
        <f>Vlookup(C1041,'Oil &amp; Gas Documents - Canada'!F:N,9,FALSE)</f>
        <v>#N/A</v>
      </c>
      <c r="F1041" s="1" t="s">
        <v>3274</v>
      </c>
      <c r="G1041" s="4" t="str">
        <f>HYPERLINK("http://nimonikapp.com/legislations/318817","http://nimonikapp.com/legislations/318817")</f>
        <v>http://nimonikapp.com/legislations/318817</v>
      </c>
      <c r="H1041" s="1" t="s">
        <v>18</v>
      </c>
      <c r="I1041" s="1" t="s">
        <v>3275</v>
      </c>
      <c r="J1041" s="1" t="s">
        <v>3276</v>
      </c>
      <c r="K1041" s="5">
        <v>44702.0</v>
      </c>
      <c r="L1041" s="5">
        <v>44684.0</v>
      </c>
      <c r="M1041" s="5">
        <v>44687.0</v>
      </c>
    </row>
    <row r="1042" hidden="1">
      <c r="A1042" s="1" t="s">
        <v>70</v>
      </c>
      <c r="B1042" s="1" t="s">
        <v>25</v>
      </c>
      <c r="C1042" s="1" t="s">
        <v>3277</v>
      </c>
      <c r="D1042" s="1" t="str">
        <f>Vlookup(C1042,'Oil &amp; Gas Documents - Canada'!F:M,2,FALSE)</f>
        <v>#N/A</v>
      </c>
      <c r="E1042" s="1" t="str">
        <f>Vlookup(C1042,'Oil &amp; Gas Documents - Canada'!F:N,9,FALSE)</f>
        <v>#N/A</v>
      </c>
      <c r="F1042" s="1" t="s">
        <v>3278</v>
      </c>
      <c r="G1042" s="4" t="str">
        <f>HYPERLINK("http://nimonikapp.com/legislations/29","http://nimonikapp.com/legislations/29")</f>
        <v>http://nimonikapp.com/legislations/29</v>
      </c>
      <c r="H1042" s="1" t="s">
        <v>18</v>
      </c>
      <c r="I1042" s="1" t="s">
        <v>3279</v>
      </c>
      <c r="J1042" s="1" t="s">
        <v>3280</v>
      </c>
      <c r="K1042" s="5">
        <v>44681.0</v>
      </c>
      <c r="M1042" s="5">
        <v>44687.0</v>
      </c>
    </row>
    <row r="1043" hidden="1">
      <c r="A1043" s="1" t="s">
        <v>70</v>
      </c>
      <c r="B1043" s="1" t="s">
        <v>25</v>
      </c>
      <c r="C1043" s="1" t="s">
        <v>3281</v>
      </c>
      <c r="D1043" s="1" t="str">
        <f>Vlookup(C1043,'Oil &amp; Gas Documents - Canada'!F:M,2,FALSE)</f>
        <v>#N/A</v>
      </c>
      <c r="E1043" s="1" t="str">
        <f>Vlookup(C1043,'Oil &amp; Gas Documents - Canada'!F:N,9,FALSE)</f>
        <v>#N/A</v>
      </c>
      <c r="F1043" s="1" t="s">
        <v>827</v>
      </c>
      <c r="G1043" s="4" t="str">
        <f>HYPERLINK("http://nimonikapp.com/legislations/438","http://nimonikapp.com/legislations/438")</f>
        <v>http://nimonikapp.com/legislations/438</v>
      </c>
      <c r="H1043" s="1" t="s">
        <v>18</v>
      </c>
      <c r="I1043" s="1" t="s">
        <v>3282</v>
      </c>
      <c r="J1043" s="1" t="s">
        <v>3283</v>
      </c>
      <c r="K1043" s="5">
        <v>44681.0</v>
      </c>
      <c r="M1043" s="5">
        <v>44687.0</v>
      </c>
      <c r="N1043" s="1" t="s">
        <v>3284</v>
      </c>
    </row>
    <row r="1044" hidden="1">
      <c r="A1044" s="1" t="s">
        <v>70</v>
      </c>
      <c r="B1044" s="1" t="s">
        <v>25</v>
      </c>
      <c r="C1044" s="1" t="s">
        <v>1579</v>
      </c>
      <c r="D1044" s="1" t="str">
        <f>Vlookup(C1044,'Oil &amp; Gas Documents - Canada'!F:M,2,FALSE)</f>
        <v>#N/A</v>
      </c>
      <c r="E1044" s="1" t="str">
        <f>Vlookup(C1044,'Oil &amp; Gas Documents - Canada'!F:N,9,FALSE)</f>
        <v>#N/A</v>
      </c>
      <c r="F1044" s="1" t="s">
        <v>1580</v>
      </c>
      <c r="G1044" s="4" t="str">
        <f>HYPERLINK("http://nimonikapp.com/legislations/439","http://nimonikapp.com/legislations/439")</f>
        <v>http://nimonikapp.com/legislations/439</v>
      </c>
      <c r="H1044" s="1" t="s">
        <v>18</v>
      </c>
      <c r="I1044" s="1" t="s">
        <v>3285</v>
      </c>
      <c r="J1044" s="1" t="s">
        <v>1582</v>
      </c>
      <c r="K1044" s="5">
        <v>44681.0</v>
      </c>
      <c r="M1044" s="5">
        <v>44687.0</v>
      </c>
      <c r="N1044" s="1" t="s">
        <v>1583</v>
      </c>
    </row>
    <row r="1045" hidden="1">
      <c r="A1045" s="1" t="s">
        <v>70</v>
      </c>
      <c r="B1045" s="1" t="s">
        <v>25</v>
      </c>
      <c r="C1045" s="1" t="s">
        <v>3286</v>
      </c>
      <c r="D1045" s="1" t="str">
        <f>Vlookup(C1045,'Oil &amp; Gas Documents - Canada'!F:M,2,FALSE)</f>
        <v>#N/A</v>
      </c>
      <c r="E1045" s="1" t="str">
        <f>Vlookup(C1045,'Oil &amp; Gas Documents - Canada'!F:N,9,FALSE)</f>
        <v>#N/A</v>
      </c>
      <c r="F1045" s="1" t="s">
        <v>1354</v>
      </c>
      <c r="G1045" s="4" t="str">
        <f>HYPERLINK("http://nimonikapp.com/legislations/108","http://nimonikapp.com/legislations/108")</f>
        <v>http://nimonikapp.com/legislations/108</v>
      </c>
      <c r="H1045" s="1" t="s">
        <v>18</v>
      </c>
      <c r="I1045" s="1" t="s">
        <v>3287</v>
      </c>
      <c r="J1045" s="1" t="s">
        <v>3288</v>
      </c>
      <c r="K1045" s="5">
        <v>44681.0</v>
      </c>
      <c r="M1045" s="5">
        <v>44687.0</v>
      </c>
      <c r="N1045" s="1" t="s">
        <v>3289</v>
      </c>
    </row>
    <row r="1046" hidden="1">
      <c r="A1046" s="1" t="s">
        <v>70</v>
      </c>
      <c r="B1046" s="1" t="s">
        <v>25</v>
      </c>
      <c r="C1046" s="1" t="s">
        <v>3112</v>
      </c>
      <c r="D1046" s="1" t="str">
        <f>Vlookup(C1046,'Oil &amp; Gas Documents - Canada'!F:M,2,FALSE)</f>
        <v>#N/A</v>
      </c>
      <c r="E1046" s="1" t="str">
        <f>Vlookup(C1046,'Oil &amp; Gas Documents - Canada'!F:N,9,FALSE)</f>
        <v>#N/A</v>
      </c>
      <c r="F1046" s="1" t="s">
        <v>1328</v>
      </c>
      <c r="G1046" s="4" t="str">
        <f>HYPERLINK("http://nimonikapp.com/legislations/416","http://nimonikapp.com/legislations/416")</f>
        <v>http://nimonikapp.com/legislations/416</v>
      </c>
      <c r="H1046" s="1" t="s">
        <v>18</v>
      </c>
      <c r="I1046" s="1" t="s">
        <v>3290</v>
      </c>
      <c r="J1046" s="1" t="s">
        <v>3291</v>
      </c>
      <c r="K1046" s="5">
        <v>44681.0</v>
      </c>
      <c r="M1046" s="5">
        <v>44687.0</v>
      </c>
      <c r="N1046" s="1" t="s">
        <v>3115</v>
      </c>
    </row>
    <row r="1047" hidden="1">
      <c r="A1047" s="1" t="s">
        <v>24</v>
      </c>
      <c r="B1047" s="1" t="s">
        <v>15</v>
      </c>
      <c r="C1047" s="1" t="s">
        <v>3292</v>
      </c>
      <c r="D1047" s="1" t="str">
        <f>Vlookup(C1047,'Oil &amp; Gas Documents - Canada'!F:M,2,FALSE)</f>
        <v>#N/A</v>
      </c>
      <c r="E1047" s="1" t="str">
        <f>Vlookup(C1047,'Oil &amp; Gas Documents - Canada'!F:N,9,FALSE)</f>
        <v>#N/A</v>
      </c>
      <c r="F1047" s="1" t="s">
        <v>3293</v>
      </c>
      <c r="G1047" s="4" t="str">
        <f>HYPERLINK("http://nimonikapp.com/legislations/348038","http://nimonikapp.com/legislations/348038")</f>
        <v>http://nimonikapp.com/legislations/348038</v>
      </c>
      <c r="H1047" s="1" t="s">
        <v>516</v>
      </c>
      <c r="K1047" s="5">
        <v>44673.0</v>
      </c>
      <c r="M1047" s="5">
        <v>44686.0</v>
      </c>
    </row>
    <row r="1048" hidden="1">
      <c r="A1048" s="1" t="s">
        <v>202</v>
      </c>
      <c r="B1048" s="1" t="s">
        <v>15</v>
      </c>
      <c r="C1048" s="1" t="s">
        <v>3294</v>
      </c>
      <c r="D1048" s="1" t="str">
        <f>Vlookup(C1048,'Oil &amp; Gas Documents - Canada'!F:M,2,FALSE)</f>
        <v>#N/A</v>
      </c>
      <c r="E1048" s="1" t="str">
        <f>Vlookup(C1048,'Oil &amp; Gas Documents - Canada'!F:N,9,FALSE)</f>
        <v>#N/A</v>
      </c>
      <c r="F1048" s="1" t="s">
        <v>3295</v>
      </c>
      <c r="G1048" s="4" t="str">
        <f>HYPERLINK("http://nimonikapp.com/legislations/347601","http://nimonikapp.com/legislations/347601")</f>
        <v>http://nimonikapp.com/legislations/347601</v>
      </c>
      <c r="H1048" s="1" t="s">
        <v>18</v>
      </c>
      <c r="K1048" s="5">
        <v>44685.0</v>
      </c>
      <c r="L1048" s="5">
        <v>44685.0</v>
      </c>
      <c r="M1048" s="5">
        <v>44685.0</v>
      </c>
    </row>
    <row r="1049">
      <c r="A1049" s="1" t="s">
        <v>202</v>
      </c>
      <c r="B1049" s="1" t="s">
        <v>15</v>
      </c>
      <c r="C1049" s="1" t="s">
        <v>527</v>
      </c>
      <c r="D1049" s="1" t="s">
        <v>26</v>
      </c>
      <c r="E1049" s="1" t="str">
        <f>Vlookup(C1049,'Oil &amp; Gas Documents - Canada'!F:N,9,FALSE)</f>
        <v>#N/A</v>
      </c>
      <c r="F1049" s="1" t="s">
        <v>526</v>
      </c>
      <c r="G1049" s="4" t="str">
        <f>HYPERLINK("http://nimonikapp.com/legislations/347597","http://nimonikapp.com/legislations/347597")</f>
        <v>http://nimonikapp.com/legislations/347597</v>
      </c>
      <c r="H1049" s="1" t="s">
        <v>516</v>
      </c>
      <c r="K1049" s="5">
        <v>44685.0</v>
      </c>
      <c r="M1049" s="5">
        <v>44685.0</v>
      </c>
    </row>
    <row r="1050" hidden="1">
      <c r="A1050" s="1" t="s">
        <v>21</v>
      </c>
      <c r="B1050" s="1" t="s">
        <v>25</v>
      </c>
      <c r="C1050" s="1" t="s">
        <v>2800</v>
      </c>
      <c r="D1050" s="1" t="str">
        <f>Vlookup(C1050,'Oil &amp; Gas Documents - Canada'!F:M,2,FALSE)</f>
        <v>#N/A</v>
      </c>
      <c r="E1050" s="1" t="str">
        <f>Vlookup(C1050,'Oil &amp; Gas Documents - Canada'!F:N,9,FALSE)</f>
        <v>#N/A</v>
      </c>
      <c r="F1050" s="1" t="s">
        <v>1131</v>
      </c>
      <c r="G1050" s="4" t="str">
        <f>HYPERLINK("http://nimonikapp.com/legislations/10311","http://nimonikapp.com/legislations/10311")</f>
        <v>http://nimonikapp.com/legislations/10311</v>
      </c>
      <c r="H1050" s="1" t="s">
        <v>18</v>
      </c>
      <c r="I1050" s="1" t="s">
        <v>3296</v>
      </c>
      <c r="J1050" s="1" t="s">
        <v>3297</v>
      </c>
      <c r="K1050" s="5">
        <v>44672.0</v>
      </c>
      <c r="L1050" s="5">
        <v>44672.0</v>
      </c>
      <c r="M1050" s="5">
        <v>44685.0</v>
      </c>
      <c r="N1050" s="1" t="s">
        <v>2803</v>
      </c>
    </row>
    <row r="1051" hidden="1">
      <c r="A1051" s="1" t="s">
        <v>21</v>
      </c>
      <c r="B1051" s="1" t="s">
        <v>25</v>
      </c>
      <c r="C1051" s="1" t="s">
        <v>3298</v>
      </c>
      <c r="D1051" s="1" t="str">
        <f>Vlookup(C1051,'Oil &amp; Gas Documents - Canada'!F:M,2,FALSE)</f>
        <v>#N/A</v>
      </c>
      <c r="E1051" s="1" t="str">
        <f>Vlookup(C1051,'Oil &amp; Gas Documents - Canada'!F:N,9,FALSE)</f>
        <v>#N/A</v>
      </c>
      <c r="F1051" s="1" t="s">
        <v>3299</v>
      </c>
      <c r="G1051" s="4" t="str">
        <f>HYPERLINK("http://nimonikapp.com/legislations/161721","http://nimonikapp.com/legislations/161721")</f>
        <v>http://nimonikapp.com/legislations/161721</v>
      </c>
      <c r="H1051" s="1" t="s">
        <v>18</v>
      </c>
      <c r="I1051" s="1" t="s">
        <v>3300</v>
      </c>
      <c r="J1051" s="1" t="s">
        <v>3301</v>
      </c>
      <c r="K1051" s="5">
        <v>44672.0</v>
      </c>
      <c r="L1051" s="5">
        <v>42370.0</v>
      </c>
      <c r="M1051" s="5">
        <v>44685.0</v>
      </c>
      <c r="N1051" s="1" t="s">
        <v>3302</v>
      </c>
    </row>
    <row r="1052">
      <c r="A1052" s="1" t="s">
        <v>21</v>
      </c>
      <c r="B1052" s="1" t="s">
        <v>25</v>
      </c>
      <c r="C1052" s="1" t="s">
        <v>117</v>
      </c>
      <c r="D1052" s="1" t="str">
        <f>Vlookup(C1052,'Oil &amp; Gas Documents - Canada'!F:M,2,FALSE)</f>
        <v>oil_and_gas</v>
      </c>
      <c r="E1052" s="1" t="str">
        <f>Vlookup(C1052,'Oil &amp; Gas Documents - Canada'!F:N,9,FALSE)</f>
        <v/>
      </c>
      <c r="F1052" s="1" t="s">
        <v>116</v>
      </c>
      <c r="G1052" s="4" t="str">
        <f>HYPERLINK("http://nimonikapp.com/legislations/3688","http://nimonikapp.com/legislations/3688")</f>
        <v>http://nimonikapp.com/legislations/3688</v>
      </c>
      <c r="H1052" s="1" t="s">
        <v>18</v>
      </c>
      <c r="I1052" s="1" t="s">
        <v>528</v>
      </c>
      <c r="J1052" s="1" t="s">
        <v>380</v>
      </c>
      <c r="K1052" s="5">
        <v>44681.0</v>
      </c>
      <c r="L1052" s="5">
        <v>44657.0</v>
      </c>
      <c r="M1052" s="5">
        <v>44685.0</v>
      </c>
      <c r="N1052" s="1" t="s">
        <v>118</v>
      </c>
    </row>
    <row r="1053" hidden="1">
      <c r="A1053" s="1" t="s">
        <v>21</v>
      </c>
      <c r="B1053" s="1" t="s">
        <v>25</v>
      </c>
      <c r="C1053" s="1" t="s">
        <v>2290</v>
      </c>
      <c r="D1053" s="1" t="str">
        <f>Vlookup(C1053,'Oil &amp; Gas Documents - Canada'!F:M,2,FALSE)</f>
        <v>#N/A</v>
      </c>
      <c r="E1053" s="1" t="str">
        <f>Vlookup(C1053,'Oil &amp; Gas Documents - Canada'!F:N,9,FALSE)</f>
        <v>#N/A</v>
      </c>
      <c r="F1053" s="1" t="s">
        <v>2291</v>
      </c>
      <c r="G1053" s="4" t="str">
        <f>HYPERLINK("http://nimonikapp.com/legislations/6394","http://nimonikapp.com/legislations/6394")</f>
        <v>http://nimonikapp.com/legislations/6394</v>
      </c>
      <c r="H1053" s="1" t="s">
        <v>18</v>
      </c>
      <c r="I1053" s="1" t="s">
        <v>3303</v>
      </c>
      <c r="J1053" s="1" t="s">
        <v>3304</v>
      </c>
      <c r="K1053" s="5">
        <v>44672.0</v>
      </c>
      <c r="M1053" s="5">
        <v>44685.0</v>
      </c>
      <c r="N1053" s="1" t="s">
        <v>2294</v>
      </c>
    </row>
    <row r="1054">
      <c r="A1054" s="1" t="s">
        <v>21</v>
      </c>
      <c r="B1054" s="1" t="s">
        <v>25</v>
      </c>
      <c r="C1054" s="1" t="s">
        <v>194</v>
      </c>
      <c r="D1054" s="1" t="str">
        <f>Vlookup(C1054,'Oil &amp; Gas Documents - Canada'!F:M,2,FALSE)</f>
        <v>oil_and_gas</v>
      </c>
      <c r="E1054" s="1" t="str">
        <f>Vlookup(C1054,'Oil &amp; Gas Documents - Canada'!F:N,9,FALSE)</f>
        <v/>
      </c>
      <c r="F1054" s="1" t="s">
        <v>193</v>
      </c>
      <c r="G1054" s="4" t="str">
        <f>HYPERLINK("http://nimonikapp.com/legislations/4042","http://nimonikapp.com/legislations/4042")</f>
        <v>http://nimonikapp.com/legislations/4042</v>
      </c>
      <c r="H1054" s="1" t="s">
        <v>18</v>
      </c>
      <c r="I1054" s="1" t="s">
        <v>529</v>
      </c>
      <c r="J1054" s="1" t="s">
        <v>530</v>
      </c>
      <c r="K1054" s="5">
        <v>44676.0</v>
      </c>
      <c r="L1054" s="5">
        <v>44676.0</v>
      </c>
      <c r="M1054" s="5">
        <v>44685.0</v>
      </c>
      <c r="N1054" s="1" t="s">
        <v>195</v>
      </c>
    </row>
    <row r="1055" hidden="1">
      <c r="A1055" s="1" t="s">
        <v>486</v>
      </c>
      <c r="B1055" s="1" t="s">
        <v>15</v>
      </c>
      <c r="C1055" s="1" t="s">
        <v>3305</v>
      </c>
      <c r="D1055" s="1" t="str">
        <f>Vlookup(C1055,'Oil &amp; Gas Documents - Canada'!F:M,2,FALSE)</f>
        <v>#N/A</v>
      </c>
      <c r="E1055" s="1" t="str">
        <f>Vlookup(C1055,'Oil &amp; Gas Documents - Canada'!F:N,9,FALSE)</f>
        <v>#N/A</v>
      </c>
      <c r="F1055" s="1" t="s">
        <v>3306</v>
      </c>
      <c r="G1055" s="4" t="str">
        <f>HYPERLINK("http://nimonikapp.com/legislations/347542","http://nimonikapp.com/legislations/347542")</f>
        <v>http://nimonikapp.com/legislations/347542</v>
      </c>
      <c r="H1055" s="1" t="s">
        <v>516</v>
      </c>
      <c r="K1055" s="5">
        <v>44677.0</v>
      </c>
      <c r="M1055" s="5">
        <v>44684.0</v>
      </c>
    </row>
    <row r="1056" hidden="1">
      <c r="A1056" s="1" t="s">
        <v>73</v>
      </c>
      <c r="B1056" s="1" t="s">
        <v>15</v>
      </c>
      <c r="C1056" s="1" t="s">
        <v>3307</v>
      </c>
      <c r="D1056" s="1" t="str">
        <f>Vlookup(C1056,'Oil &amp; Gas Documents - Canada'!F:M,2,FALSE)</f>
        <v>#N/A</v>
      </c>
      <c r="E1056" s="1" t="str">
        <f>Vlookup(C1056,'Oil &amp; Gas Documents - Canada'!F:N,9,FALSE)</f>
        <v>#N/A</v>
      </c>
      <c r="F1056" s="1" t="s">
        <v>3308</v>
      </c>
      <c r="G1056" s="4" t="str">
        <f>HYPERLINK("http://nimonikapp.com/legislations/347564","http://nimonikapp.com/legislations/347564")</f>
        <v>http://nimonikapp.com/legislations/347564</v>
      </c>
      <c r="H1056" s="1" t="s">
        <v>356</v>
      </c>
      <c r="K1056" s="5">
        <v>44681.0</v>
      </c>
      <c r="L1056" s="5">
        <v>44671.0</v>
      </c>
      <c r="M1056" s="5">
        <v>44684.0</v>
      </c>
    </row>
    <row r="1057" hidden="1">
      <c r="A1057" s="1" t="s">
        <v>557</v>
      </c>
      <c r="B1057" s="1" t="s">
        <v>25</v>
      </c>
      <c r="C1057" s="1" t="s">
        <v>3309</v>
      </c>
      <c r="D1057" s="1" t="str">
        <f>Vlookup(C1057,'Oil &amp; Gas Documents - Canada'!F:M,2,FALSE)</f>
        <v>#N/A</v>
      </c>
      <c r="E1057" s="1" t="str">
        <f>Vlookup(C1057,'Oil &amp; Gas Documents - Canada'!F:N,9,FALSE)</f>
        <v>#N/A</v>
      </c>
      <c r="F1057" s="1" t="s">
        <v>3310</v>
      </c>
      <c r="G1057" s="4" t="str">
        <f>HYPERLINK("http://nimonikapp.com/legislations/95357","http://nimonikapp.com/legislations/95357")</f>
        <v>http://nimonikapp.com/legislations/95357</v>
      </c>
      <c r="H1057" s="1" t="s">
        <v>18</v>
      </c>
      <c r="I1057" s="1" t="s">
        <v>3311</v>
      </c>
      <c r="J1057" s="1" t="s">
        <v>3312</v>
      </c>
      <c r="K1057" s="5">
        <v>44681.0</v>
      </c>
      <c r="L1057" s="5">
        <v>44680.0</v>
      </c>
      <c r="M1057" s="5">
        <v>44684.0</v>
      </c>
      <c r="N1057" s="1" t="s">
        <v>3313</v>
      </c>
    </row>
    <row r="1058" hidden="1">
      <c r="A1058" s="1" t="s">
        <v>70</v>
      </c>
      <c r="B1058" s="1" t="s">
        <v>15</v>
      </c>
      <c r="C1058" s="1" t="s">
        <v>3314</v>
      </c>
      <c r="D1058" s="1" t="str">
        <f>Vlookup(C1058,'Oil &amp; Gas Documents - Canada'!F:M,2,FALSE)</f>
        <v>#N/A</v>
      </c>
      <c r="E1058" s="1" t="str">
        <f>Vlookup(C1058,'Oil &amp; Gas Documents - Canada'!F:N,9,FALSE)</f>
        <v>#N/A</v>
      </c>
      <c r="F1058" s="1" t="s">
        <v>3315</v>
      </c>
      <c r="G1058" s="4" t="str">
        <f>HYPERLINK("http://nimonikapp.com/legislations/347460","http://nimonikapp.com/legislations/347460")</f>
        <v>http://nimonikapp.com/legislations/347460</v>
      </c>
      <c r="H1058" s="1" t="s">
        <v>516</v>
      </c>
      <c r="K1058" s="5">
        <v>44665.0</v>
      </c>
      <c r="M1058" s="5">
        <v>44680.0</v>
      </c>
    </row>
    <row r="1059" hidden="1">
      <c r="A1059" s="1" t="s">
        <v>70</v>
      </c>
      <c r="B1059" s="1" t="s">
        <v>25</v>
      </c>
      <c r="C1059" s="1" t="s">
        <v>3316</v>
      </c>
      <c r="D1059" s="1" t="str">
        <f>Vlookup(C1059,'Oil &amp; Gas Documents - Canada'!F:M,2,FALSE)</f>
        <v>#N/A</v>
      </c>
      <c r="E1059" s="1" t="str">
        <f>Vlookup(C1059,'Oil &amp; Gas Documents - Canada'!F:N,9,FALSE)</f>
        <v>#N/A</v>
      </c>
      <c r="F1059" s="1" t="s">
        <v>3317</v>
      </c>
      <c r="G1059" s="4" t="str">
        <f>HYPERLINK("http://nimonikapp.com/legislations/104379","http://nimonikapp.com/legislations/104379")</f>
        <v>http://nimonikapp.com/legislations/104379</v>
      </c>
      <c r="H1059" s="1" t="s">
        <v>18</v>
      </c>
      <c r="I1059" s="1" t="s">
        <v>3318</v>
      </c>
      <c r="J1059" s="1" t="s">
        <v>3319</v>
      </c>
      <c r="K1059" s="5">
        <v>44688.0</v>
      </c>
      <c r="L1059" s="5">
        <v>44927.0</v>
      </c>
      <c r="M1059" s="5">
        <v>44680.0</v>
      </c>
      <c r="N1059" s="1" t="s">
        <v>3320</v>
      </c>
    </row>
    <row r="1060" hidden="1">
      <c r="A1060" s="1" t="s">
        <v>202</v>
      </c>
      <c r="B1060" s="1" t="s">
        <v>25</v>
      </c>
      <c r="C1060" s="1" t="s">
        <v>3321</v>
      </c>
      <c r="D1060" s="1" t="str">
        <f>Vlookup(C1060,'Oil &amp; Gas Documents - Canada'!F:M,2,FALSE)</f>
        <v>#N/A</v>
      </c>
      <c r="E1060" s="1" t="str">
        <f>Vlookup(C1060,'Oil &amp; Gas Documents - Canada'!F:N,9,FALSE)</f>
        <v>#N/A</v>
      </c>
      <c r="F1060" s="1" t="s">
        <v>3322</v>
      </c>
      <c r="G1060" s="4" t="str">
        <f>HYPERLINK("http://nimonikapp.com/legislations/110633","http://nimonikapp.com/legislations/110633")</f>
        <v>http://nimonikapp.com/legislations/110633</v>
      </c>
      <c r="H1060" s="1" t="s">
        <v>18</v>
      </c>
      <c r="I1060" s="1" t="s">
        <v>3323</v>
      </c>
      <c r="J1060" s="1" t="s">
        <v>3324</v>
      </c>
      <c r="K1060" s="5">
        <v>44606.0</v>
      </c>
      <c r="M1060" s="5">
        <v>44680.0</v>
      </c>
      <c r="N1060" s="1" t="s">
        <v>3325</v>
      </c>
    </row>
    <row r="1061" hidden="1">
      <c r="A1061" s="1" t="s">
        <v>70</v>
      </c>
      <c r="B1061" s="1" t="s">
        <v>15</v>
      </c>
      <c r="C1061" s="1" t="s">
        <v>3326</v>
      </c>
      <c r="D1061" s="1" t="str">
        <f>Vlookup(C1061,'Oil &amp; Gas Documents - Canada'!F:M,2,FALSE)</f>
        <v>#N/A</v>
      </c>
      <c r="E1061" s="1" t="str">
        <f>Vlookup(C1061,'Oil &amp; Gas Documents - Canada'!F:N,9,FALSE)</f>
        <v>#N/A</v>
      </c>
      <c r="F1061" s="1" t="s">
        <v>3274</v>
      </c>
      <c r="G1061" s="4" t="str">
        <f>HYPERLINK("http://nimonikapp.com/legislations/347068","http://nimonikapp.com/legislations/347068")</f>
        <v>http://nimonikapp.com/legislations/347068</v>
      </c>
      <c r="H1061" s="1" t="s">
        <v>52</v>
      </c>
      <c r="K1061" s="5">
        <v>44688.0</v>
      </c>
      <c r="L1061" s="5">
        <v>45108.0</v>
      </c>
      <c r="M1061" s="5">
        <v>44679.0</v>
      </c>
    </row>
    <row r="1062" hidden="1">
      <c r="A1062" s="1" t="s">
        <v>202</v>
      </c>
      <c r="B1062" s="1" t="s">
        <v>15</v>
      </c>
      <c r="C1062" s="1" t="s">
        <v>3327</v>
      </c>
      <c r="D1062" s="1" t="str">
        <f>Vlookup(C1062,'Oil &amp; Gas Documents - Canada'!F:M,2,FALSE)</f>
        <v>#N/A</v>
      </c>
      <c r="E1062" s="1" t="str">
        <f>Vlookup(C1062,'Oil &amp; Gas Documents - Canada'!F:N,9,FALSE)</f>
        <v>#N/A</v>
      </c>
      <c r="F1062" s="1" t="s">
        <v>3328</v>
      </c>
      <c r="G1062" s="4" t="str">
        <f>HYPERLINK("http://nimonikapp.com/legislations/347075","http://nimonikapp.com/legislations/347075")</f>
        <v>http://nimonikapp.com/legislations/347075</v>
      </c>
      <c r="H1062" s="1" t="s">
        <v>52</v>
      </c>
      <c r="K1062" s="5">
        <v>44678.0</v>
      </c>
      <c r="L1062" s="5">
        <v>44693.0</v>
      </c>
      <c r="M1062" s="5">
        <v>44679.0</v>
      </c>
    </row>
    <row r="1063" hidden="1">
      <c r="A1063" s="1" t="s">
        <v>202</v>
      </c>
      <c r="B1063" s="1" t="s">
        <v>15</v>
      </c>
      <c r="C1063" s="1" t="s">
        <v>3329</v>
      </c>
      <c r="D1063" s="1" t="str">
        <f>Vlookup(C1063,'Oil &amp; Gas Documents - Canada'!F:M,2,FALSE)</f>
        <v>#N/A</v>
      </c>
      <c r="E1063" s="1" t="str">
        <f>Vlookup(C1063,'Oil &amp; Gas Documents - Canada'!F:N,9,FALSE)</f>
        <v>#N/A</v>
      </c>
      <c r="F1063" s="1" t="s">
        <v>3330</v>
      </c>
      <c r="G1063" s="4" t="str">
        <f>HYPERLINK("http://nimonikapp.com/legislations/347060","http://nimonikapp.com/legislations/347060")</f>
        <v>http://nimonikapp.com/legislations/347060</v>
      </c>
      <c r="H1063" s="1" t="s">
        <v>516</v>
      </c>
      <c r="K1063" s="5">
        <v>44678.0</v>
      </c>
      <c r="M1063" s="5">
        <v>44679.0</v>
      </c>
    </row>
    <row r="1064">
      <c r="A1064" s="1" t="s">
        <v>73</v>
      </c>
      <c r="B1064" s="1" t="s">
        <v>15</v>
      </c>
      <c r="C1064" s="1" t="s">
        <v>531</v>
      </c>
      <c r="D1064" s="1" t="str">
        <f>Vlookup(C1064,'Oil &amp; Gas Documents - Canada'!F:M,2,FALSE)</f>
        <v>oil_and_gas</v>
      </c>
      <c r="E1064" s="1" t="str">
        <f>Vlookup(C1064,'Oil &amp; Gas Documents - Canada'!F:N,9,FALSE)</f>
        <v/>
      </c>
      <c r="F1064" s="1" t="s">
        <v>524</v>
      </c>
      <c r="G1064" s="4" t="str">
        <f>HYPERLINK("http://nimonikapp.com/legislations/347013","http://nimonikapp.com/legislations/347013")</f>
        <v>http://nimonikapp.com/legislations/347013</v>
      </c>
      <c r="H1064" s="1" t="s">
        <v>52</v>
      </c>
      <c r="K1064" s="5">
        <v>44678.0</v>
      </c>
      <c r="L1064" s="5">
        <v>44927.0</v>
      </c>
      <c r="M1064" s="5">
        <v>44679.0</v>
      </c>
    </row>
    <row r="1065" hidden="1">
      <c r="A1065" s="1" t="s">
        <v>73</v>
      </c>
      <c r="B1065" s="1" t="s">
        <v>25</v>
      </c>
      <c r="C1065" s="1" t="s">
        <v>1435</v>
      </c>
      <c r="D1065" s="1" t="str">
        <f>Vlookup(C1065,'Oil &amp; Gas Documents - Canada'!F:M,2,FALSE)</f>
        <v>#N/A</v>
      </c>
      <c r="E1065" s="1" t="str">
        <f>Vlookup(C1065,'Oil &amp; Gas Documents - Canada'!F:N,9,FALSE)</f>
        <v>#N/A</v>
      </c>
      <c r="F1065" s="1" t="s">
        <v>1436</v>
      </c>
      <c r="G1065" s="4" t="str">
        <f>HYPERLINK("http://nimonikapp.com/legislations/321802","http://nimonikapp.com/legislations/321802")</f>
        <v>http://nimonikapp.com/legislations/321802</v>
      </c>
      <c r="H1065" s="1" t="s">
        <v>18</v>
      </c>
      <c r="I1065" s="1" t="s">
        <v>3331</v>
      </c>
      <c r="J1065" s="1" t="s">
        <v>3332</v>
      </c>
      <c r="K1065" s="5">
        <v>44678.0</v>
      </c>
      <c r="L1065" s="5">
        <v>44677.0</v>
      </c>
      <c r="M1065" s="5">
        <v>44679.0</v>
      </c>
      <c r="N1065" s="1" t="s">
        <v>1439</v>
      </c>
    </row>
    <row r="1066" hidden="1">
      <c r="A1066" s="1" t="s">
        <v>73</v>
      </c>
      <c r="B1066" s="1" t="s">
        <v>25</v>
      </c>
      <c r="C1066" s="1" t="s">
        <v>1045</v>
      </c>
      <c r="D1066" s="1" t="str">
        <f>Vlookup(C1066,'Oil &amp; Gas Documents - Canada'!F:M,2,FALSE)</f>
        <v>#N/A</v>
      </c>
      <c r="E1066" s="1" t="str">
        <f>Vlookup(C1066,'Oil &amp; Gas Documents - Canada'!F:N,9,FALSE)</f>
        <v>#N/A</v>
      </c>
      <c r="F1066" s="1" t="s">
        <v>1046</v>
      </c>
      <c r="G1066" s="4" t="str">
        <f>HYPERLINK("http://nimonikapp.com/legislations/321966","http://nimonikapp.com/legislations/321966")</f>
        <v>http://nimonikapp.com/legislations/321966</v>
      </c>
      <c r="H1066" s="1" t="s">
        <v>18</v>
      </c>
      <c r="I1066" s="1" t="s">
        <v>3333</v>
      </c>
      <c r="J1066" s="1" t="s">
        <v>1048</v>
      </c>
      <c r="K1066" s="5">
        <v>44678.0</v>
      </c>
      <c r="L1066" s="5">
        <v>44656.0</v>
      </c>
      <c r="M1066" s="5">
        <v>44679.0</v>
      </c>
      <c r="N1066" s="1" t="s">
        <v>1049</v>
      </c>
    </row>
    <row r="1067" hidden="1">
      <c r="A1067" s="1" t="s">
        <v>73</v>
      </c>
      <c r="B1067" s="1" t="s">
        <v>25</v>
      </c>
      <c r="C1067" s="1" t="s">
        <v>2225</v>
      </c>
      <c r="D1067" s="1" t="str">
        <f>Vlookup(C1067,'Oil &amp; Gas Documents - Canada'!F:M,2,FALSE)</f>
        <v>#N/A</v>
      </c>
      <c r="E1067" s="1" t="str">
        <f>Vlookup(C1067,'Oil &amp; Gas Documents - Canada'!F:N,9,FALSE)</f>
        <v>#N/A</v>
      </c>
      <c r="F1067" s="1" t="s">
        <v>2226</v>
      </c>
      <c r="G1067" s="4" t="str">
        <f>HYPERLINK("http://nimonikapp.com/legislations/321954","http://nimonikapp.com/legislations/321954")</f>
        <v>http://nimonikapp.com/legislations/321954</v>
      </c>
      <c r="H1067" s="1" t="s">
        <v>18</v>
      </c>
      <c r="I1067" s="1" t="s">
        <v>3334</v>
      </c>
      <c r="J1067" s="1" t="s">
        <v>2228</v>
      </c>
      <c r="K1067" s="5">
        <v>44678.0</v>
      </c>
      <c r="L1067" s="5">
        <v>44656.0</v>
      </c>
      <c r="M1067" s="5">
        <v>44679.0</v>
      </c>
      <c r="N1067" s="1" t="s">
        <v>2229</v>
      </c>
    </row>
    <row r="1068" hidden="1">
      <c r="A1068" s="1" t="s">
        <v>73</v>
      </c>
      <c r="B1068" s="1" t="s">
        <v>25</v>
      </c>
      <c r="C1068" s="1" t="s">
        <v>1045</v>
      </c>
      <c r="D1068" s="1" t="str">
        <f>Vlookup(C1068,'Oil &amp; Gas Documents - Canada'!F:M,2,FALSE)</f>
        <v>#N/A</v>
      </c>
      <c r="E1068" s="1" t="str">
        <f>Vlookup(C1068,'Oil &amp; Gas Documents - Canada'!F:N,9,FALSE)</f>
        <v>#N/A</v>
      </c>
      <c r="F1068" s="1" t="s">
        <v>1046</v>
      </c>
      <c r="G1068" s="4" t="str">
        <f>HYPERLINK("http://nimonikapp.com/legislations/321966","http://nimonikapp.com/legislations/321966")</f>
        <v>http://nimonikapp.com/legislations/321966</v>
      </c>
      <c r="H1068" s="1" t="s">
        <v>18</v>
      </c>
      <c r="I1068" s="1" t="s">
        <v>3335</v>
      </c>
      <c r="J1068" s="1" t="s">
        <v>1048</v>
      </c>
      <c r="K1068" s="5">
        <v>44678.0</v>
      </c>
      <c r="L1068" s="5">
        <v>44659.0</v>
      </c>
      <c r="M1068" s="5">
        <v>44679.0</v>
      </c>
      <c r="N1068" s="1" t="s">
        <v>1049</v>
      </c>
    </row>
    <row r="1069" hidden="1">
      <c r="A1069" s="1" t="s">
        <v>66</v>
      </c>
      <c r="B1069" s="1" t="s">
        <v>25</v>
      </c>
      <c r="C1069" s="1" t="s">
        <v>2023</v>
      </c>
      <c r="D1069" s="1" t="str">
        <f>Vlookup(C1069,'Oil &amp; Gas Documents - Canada'!F:M,2,FALSE)</f>
        <v>#N/A</v>
      </c>
      <c r="E1069" s="1" t="str">
        <f>Vlookup(C1069,'Oil &amp; Gas Documents - Canada'!F:N,9,FALSE)</f>
        <v>#N/A</v>
      </c>
      <c r="F1069" s="1" t="s">
        <v>2024</v>
      </c>
      <c r="G1069" s="4" t="str">
        <f>HYPERLINK("http://nimonikapp.com/legislations/3985","http://nimonikapp.com/legislations/3985")</f>
        <v>http://nimonikapp.com/legislations/3985</v>
      </c>
      <c r="H1069" s="1" t="s">
        <v>18</v>
      </c>
      <c r="I1069" s="1" t="s">
        <v>3336</v>
      </c>
      <c r="J1069" s="1" t="s">
        <v>3337</v>
      </c>
      <c r="K1069" s="5">
        <v>44673.0</v>
      </c>
      <c r="L1069" s="5">
        <v>44673.0</v>
      </c>
      <c r="M1069" s="5">
        <v>44679.0</v>
      </c>
      <c r="N1069" s="1" t="s">
        <v>2027</v>
      </c>
    </row>
    <row r="1070" hidden="1">
      <c r="A1070" s="1" t="s">
        <v>66</v>
      </c>
      <c r="B1070" s="1" t="s">
        <v>25</v>
      </c>
      <c r="C1070" s="1" t="s">
        <v>3338</v>
      </c>
      <c r="D1070" s="1" t="str">
        <f>Vlookup(C1070,'Oil &amp; Gas Documents - Canada'!F:M,2,FALSE)</f>
        <v>#N/A</v>
      </c>
      <c r="E1070" s="1" t="str">
        <f>Vlookup(C1070,'Oil &amp; Gas Documents - Canada'!F:N,9,FALSE)</f>
        <v>#N/A</v>
      </c>
      <c r="F1070" s="1" t="s">
        <v>3339</v>
      </c>
      <c r="G1070" s="4" t="str">
        <f>HYPERLINK("http://nimonikapp.com/legislations/3986","http://nimonikapp.com/legislations/3986")</f>
        <v>http://nimonikapp.com/legislations/3986</v>
      </c>
      <c r="H1070" s="1" t="s">
        <v>18</v>
      </c>
      <c r="I1070" s="1" t="s">
        <v>3340</v>
      </c>
      <c r="J1070" s="1" t="s">
        <v>3341</v>
      </c>
      <c r="K1070" s="5">
        <v>44673.0</v>
      </c>
      <c r="L1070" s="5">
        <v>44673.0</v>
      </c>
      <c r="M1070" s="5">
        <v>44679.0</v>
      </c>
      <c r="N1070" s="1" t="s">
        <v>3342</v>
      </c>
    </row>
    <row r="1071" hidden="1">
      <c r="A1071" s="1" t="s">
        <v>70</v>
      </c>
      <c r="B1071" s="1" t="s">
        <v>25</v>
      </c>
      <c r="C1071" s="1" t="s">
        <v>3343</v>
      </c>
      <c r="D1071" s="1" t="str">
        <f>Vlookup(C1071,'Oil &amp; Gas Documents - Canada'!F:M,2,FALSE)</f>
        <v>#N/A</v>
      </c>
      <c r="E1071" s="1" t="str">
        <f>Vlookup(C1071,'Oil &amp; Gas Documents - Canada'!F:N,9,FALSE)</f>
        <v>#N/A</v>
      </c>
      <c r="F1071" s="1" t="s">
        <v>3344</v>
      </c>
      <c r="G1071" s="4" t="str">
        <f>HYPERLINK("http://nimonikapp.com/legislations/113714","http://nimonikapp.com/legislations/113714")</f>
        <v>http://nimonikapp.com/legislations/113714</v>
      </c>
      <c r="H1071" s="1" t="s">
        <v>18</v>
      </c>
      <c r="I1071" s="1" t="s">
        <v>3345</v>
      </c>
      <c r="J1071" s="1" t="s">
        <v>3346</v>
      </c>
      <c r="K1071" s="5">
        <v>44688.0</v>
      </c>
      <c r="L1071" s="5">
        <v>45017.0</v>
      </c>
      <c r="M1071" s="5">
        <v>44679.0</v>
      </c>
    </row>
    <row r="1072" hidden="1">
      <c r="A1072" s="1" t="s">
        <v>70</v>
      </c>
      <c r="B1072" s="1" t="s">
        <v>25</v>
      </c>
      <c r="C1072" s="1" t="s">
        <v>3347</v>
      </c>
      <c r="D1072" s="1" t="str">
        <f>Vlookup(C1072,'Oil &amp; Gas Documents - Canada'!F:M,2,FALSE)</f>
        <v>#N/A</v>
      </c>
      <c r="E1072" s="1" t="str">
        <f>Vlookup(C1072,'Oil &amp; Gas Documents - Canada'!F:N,9,FALSE)</f>
        <v>#N/A</v>
      </c>
      <c r="F1072" s="1" t="s">
        <v>3348</v>
      </c>
      <c r="G1072" s="4" t="str">
        <f>HYPERLINK("http://nimonikapp.com/legislations/1270","http://nimonikapp.com/legislations/1270")</f>
        <v>http://nimonikapp.com/legislations/1270</v>
      </c>
      <c r="H1072" s="1" t="s">
        <v>18</v>
      </c>
      <c r="I1072" s="1" t="s">
        <v>3349</v>
      </c>
      <c r="J1072" s="1" t="s">
        <v>3350</v>
      </c>
      <c r="K1072" s="5">
        <v>44688.0</v>
      </c>
      <c r="L1072" s="5">
        <v>45017.0</v>
      </c>
      <c r="M1072" s="5">
        <v>44679.0</v>
      </c>
      <c r="N1072" s="1" t="s">
        <v>3351</v>
      </c>
    </row>
    <row r="1073" hidden="1">
      <c r="A1073" s="1" t="s">
        <v>70</v>
      </c>
      <c r="B1073" s="1" t="s">
        <v>25</v>
      </c>
      <c r="C1073" s="1" t="s">
        <v>3352</v>
      </c>
      <c r="D1073" s="1" t="str">
        <f>Vlookup(C1073,'Oil &amp; Gas Documents - Canada'!F:M,2,FALSE)</f>
        <v>#N/A</v>
      </c>
      <c r="E1073" s="1" t="str">
        <f>Vlookup(C1073,'Oil &amp; Gas Documents - Canada'!F:N,9,FALSE)</f>
        <v>#N/A</v>
      </c>
      <c r="F1073" s="1" t="s">
        <v>3353</v>
      </c>
      <c r="G1073" s="4" t="str">
        <f>HYPERLINK("http://nimonikapp.com/legislations/1278","http://nimonikapp.com/legislations/1278")</f>
        <v>http://nimonikapp.com/legislations/1278</v>
      </c>
      <c r="H1073" s="1" t="s">
        <v>18</v>
      </c>
      <c r="I1073" s="1" t="s">
        <v>3354</v>
      </c>
      <c r="J1073" s="1" t="s">
        <v>3355</v>
      </c>
      <c r="K1073" s="5">
        <v>44688.0</v>
      </c>
      <c r="L1073" s="5">
        <v>44743.0</v>
      </c>
      <c r="M1073" s="5">
        <v>44679.0</v>
      </c>
    </row>
    <row r="1074" hidden="1">
      <c r="A1074" s="1" t="s">
        <v>70</v>
      </c>
      <c r="B1074" s="1" t="s">
        <v>25</v>
      </c>
      <c r="C1074" s="1" t="s">
        <v>3356</v>
      </c>
      <c r="D1074" s="1" t="str">
        <f>Vlookup(C1074,'Oil &amp; Gas Documents - Canada'!F:M,2,FALSE)</f>
        <v>#N/A</v>
      </c>
      <c r="E1074" s="1" t="str">
        <f>Vlookup(C1074,'Oil &amp; Gas Documents - Canada'!F:N,9,FALSE)</f>
        <v>#N/A</v>
      </c>
      <c r="F1074" s="1" t="s">
        <v>3357</v>
      </c>
      <c r="G1074" s="4" t="str">
        <f>HYPERLINK("http://nimonikapp.com/legislations/1293","http://nimonikapp.com/legislations/1293")</f>
        <v>http://nimonikapp.com/legislations/1293</v>
      </c>
      <c r="H1074" s="1" t="s">
        <v>18</v>
      </c>
      <c r="I1074" s="1" t="s">
        <v>3358</v>
      </c>
      <c r="J1074" s="1" t="s">
        <v>3359</v>
      </c>
      <c r="K1074" s="5">
        <v>44688.0</v>
      </c>
      <c r="L1074" s="5">
        <v>44743.0</v>
      </c>
      <c r="M1074" s="5">
        <v>44679.0</v>
      </c>
      <c r="N1074" s="1" t="s">
        <v>3360</v>
      </c>
    </row>
    <row r="1075" hidden="1">
      <c r="A1075" s="1" t="s">
        <v>70</v>
      </c>
      <c r="B1075" s="1" t="s">
        <v>25</v>
      </c>
      <c r="C1075" s="1" t="s">
        <v>3361</v>
      </c>
      <c r="D1075" s="1" t="str">
        <f>Vlookup(C1075,'Oil &amp; Gas Documents - Canada'!F:M,2,FALSE)</f>
        <v>#N/A</v>
      </c>
      <c r="E1075" s="1" t="str">
        <f>Vlookup(C1075,'Oil &amp; Gas Documents - Canada'!F:N,9,FALSE)</f>
        <v>#N/A</v>
      </c>
      <c r="F1075" s="1" t="s">
        <v>3362</v>
      </c>
      <c r="G1075" s="4" t="str">
        <f>HYPERLINK("http://nimonikapp.com/legislations/1287","http://nimonikapp.com/legislations/1287")</f>
        <v>http://nimonikapp.com/legislations/1287</v>
      </c>
      <c r="H1075" s="1" t="s">
        <v>18</v>
      </c>
      <c r="I1075" s="1" t="s">
        <v>3363</v>
      </c>
      <c r="J1075" s="1" t="s">
        <v>3364</v>
      </c>
      <c r="K1075" s="5">
        <v>44688.0</v>
      </c>
      <c r="L1075" s="5">
        <v>44743.0</v>
      </c>
      <c r="M1075" s="5">
        <v>44679.0</v>
      </c>
      <c r="N1075" s="1" t="s">
        <v>3365</v>
      </c>
    </row>
    <row r="1076" hidden="1">
      <c r="A1076" s="1" t="s">
        <v>70</v>
      </c>
      <c r="B1076" s="1" t="s">
        <v>25</v>
      </c>
      <c r="C1076" s="1" t="s">
        <v>3366</v>
      </c>
      <c r="D1076" s="1" t="str">
        <f>Vlookup(C1076,'Oil &amp; Gas Documents - Canada'!F:M,2,FALSE)</f>
        <v>#N/A</v>
      </c>
      <c r="E1076" s="1" t="str">
        <f>Vlookup(C1076,'Oil &amp; Gas Documents - Canada'!F:N,9,FALSE)</f>
        <v>#N/A</v>
      </c>
      <c r="F1076" s="1" t="s">
        <v>3367</v>
      </c>
      <c r="G1076" s="4" t="str">
        <f>HYPERLINK("http://nimonikapp.com/legislations/1285","http://nimonikapp.com/legislations/1285")</f>
        <v>http://nimonikapp.com/legislations/1285</v>
      </c>
      <c r="H1076" s="1" t="s">
        <v>18</v>
      </c>
      <c r="I1076" s="1" t="s">
        <v>3368</v>
      </c>
      <c r="J1076" s="1" t="s">
        <v>3369</v>
      </c>
      <c r="K1076" s="5">
        <v>44688.0</v>
      </c>
      <c r="L1076" s="5">
        <v>44743.0</v>
      </c>
      <c r="M1076" s="5">
        <v>44679.0</v>
      </c>
    </row>
    <row r="1077">
      <c r="A1077" s="1" t="s">
        <v>70</v>
      </c>
      <c r="B1077" s="1" t="s">
        <v>25</v>
      </c>
      <c r="C1077" s="1" t="s">
        <v>533</v>
      </c>
      <c r="D1077" s="1" t="str">
        <f>Vlookup(C1077,'Oil &amp; Gas Documents - Canada'!F:M,2,FALSE)</f>
        <v>oil_and_gas</v>
      </c>
      <c r="E1077" s="1" t="str">
        <f>Vlookup(C1077,'Oil &amp; Gas Documents - Canada'!F:N,9,FALSE)</f>
        <v/>
      </c>
      <c r="F1077" s="1" t="s">
        <v>532</v>
      </c>
      <c r="G1077" s="4" t="str">
        <f>HYPERLINK("http://nimonikapp.com/legislations/1296","http://nimonikapp.com/legislations/1296")</f>
        <v>http://nimonikapp.com/legislations/1296</v>
      </c>
      <c r="H1077" s="1" t="s">
        <v>18</v>
      </c>
      <c r="I1077" s="1" t="s">
        <v>535</v>
      </c>
      <c r="J1077" s="1" t="s">
        <v>536</v>
      </c>
      <c r="K1077" s="5">
        <v>44688.0</v>
      </c>
      <c r="L1077" s="5">
        <v>44743.0</v>
      </c>
      <c r="M1077" s="5">
        <v>44679.0</v>
      </c>
      <c r="N1077" s="1" t="s">
        <v>534</v>
      </c>
    </row>
    <row r="1078" hidden="1">
      <c r="A1078" s="1" t="s">
        <v>70</v>
      </c>
      <c r="B1078" s="1" t="s">
        <v>25</v>
      </c>
      <c r="C1078" s="1" t="s">
        <v>3370</v>
      </c>
      <c r="D1078" s="1" t="str">
        <f>Vlookup(C1078,'Oil &amp; Gas Documents - Canada'!F:M,2,FALSE)</f>
        <v>#N/A</v>
      </c>
      <c r="E1078" s="1" t="str">
        <f>Vlookup(C1078,'Oil &amp; Gas Documents - Canada'!F:N,9,FALSE)</f>
        <v>#N/A</v>
      </c>
      <c r="F1078" s="1" t="s">
        <v>3371</v>
      </c>
      <c r="G1078" s="4" t="str">
        <f>HYPERLINK("http://nimonikapp.com/legislations/293666","http://nimonikapp.com/legislations/293666")</f>
        <v>http://nimonikapp.com/legislations/293666</v>
      </c>
      <c r="H1078" s="1" t="s">
        <v>18</v>
      </c>
      <c r="I1078" s="1" t="s">
        <v>3372</v>
      </c>
      <c r="J1078" s="1" t="s">
        <v>3373</v>
      </c>
      <c r="K1078" s="5">
        <v>44688.0</v>
      </c>
      <c r="L1078" s="5">
        <v>44743.0</v>
      </c>
      <c r="M1078" s="5">
        <v>44679.0</v>
      </c>
    </row>
    <row r="1079" hidden="1">
      <c r="A1079" s="1" t="s">
        <v>70</v>
      </c>
      <c r="B1079" s="1" t="s">
        <v>25</v>
      </c>
      <c r="C1079" s="1" t="s">
        <v>3374</v>
      </c>
      <c r="D1079" s="1" t="str">
        <f>Vlookup(C1079,'Oil &amp; Gas Documents - Canada'!F:M,2,FALSE)</f>
        <v>#N/A</v>
      </c>
      <c r="E1079" s="1" t="str">
        <f>Vlookup(C1079,'Oil &amp; Gas Documents - Canada'!F:N,9,FALSE)</f>
        <v>#N/A</v>
      </c>
      <c r="F1079" s="1" t="s">
        <v>3375</v>
      </c>
      <c r="G1079" s="4" t="str">
        <f>HYPERLINK("http://nimonikapp.com/legislations/1283","http://nimonikapp.com/legislations/1283")</f>
        <v>http://nimonikapp.com/legislations/1283</v>
      </c>
      <c r="H1079" s="1" t="s">
        <v>18</v>
      </c>
      <c r="I1079" s="1" t="s">
        <v>3376</v>
      </c>
      <c r="J1079" s="1" t="s">
        <v>3377</v>
      </c>
      <c r="K1079" s="5">
        <v>44688.0</v>
      </c>
      <c r="L1079" s="5">
        <v>44743.0</v>
      </c>
      <c r="M1079" s="5">
        <v>44679.0</v>
      </c>
      <c r="N1079" s="1" t="s">
        <v>3378</v>
      </c>
    </row>
    <row r="1080" hidden="1">
      <c r="A1080" s="1" t="s">
        <v>70</v>
      </c>
      <c r="B1080" s="1" t="s">
        <v>25</v>
      </c>
      <c r="C1080" s="1" t="s">
        <v>3379</v>
      </c>
      <c r="D1080" s="1" t="str">
        <f>Vlookup(C1080,'Oil &amp; Gas Documents - Canada'!F:M,2,FALSE)</f>
        <v>#N/A</v>
      </c>
      <c r="E1080" s="1" t="str">
        <f>Vlookup(C1080,'Oil &amp; Gas Documents - Canada'!F:N,9,FALSE)</f>
        <v>#N/A</v>
      </c>
      <c r="F1080" s="1" t="s">
        <v>3380</v>
      </c>
      <c r="G1080" s="4" t="str">
        <f>HYPERLINK("http://nimonikapp.com/legislations/1277","http://nimonikapp.com/legislations/1277")</f>
        <v>http://nimonikapp.com/legislations/1277</v>
      </c>
      <c r="H1080" s="1" t="s">
        <v>18</v>
      </c>
      <c r="I1080" s="1" t="s">
        <v>3381</v>
      </c>
      <c r="J1080" s="1" t="s">
        <v>3382</v>
      </c>
      <c r="K1080" s="5">
        <v>44688.0</v>
      </c>
      <c r="L1080" s="5">
        <v>44743.0</v>
      </c>
      <c r="M1080" s="5">
        <v>44679.0</v>
      </c>
    </row>
    <row r="1081" hidden="1">
      <c r="A1081" s="1" t="s">
        <v>70</v>
      </c>
      <c r="B1081" s="1" t="s">
        <v>25</v>
      </c>
      <c r="C1081" s="1" t="s">
        <v>3383</v>
      </c>
      <c r="D1081" s="1" t="str">
        <f>Vlookup(C1081,'Oil &amp; Gas Documents - Canada'!F:M,2,FALSE)</f>
        <v>#N/A</v>
      </c>
      <c r="E1081" s="1" t="str">
        <f>Vlookup(C1081,'Oil &amp; Gas Documents - Canada'!F:N,9,FALSE)</f>
        <v>#N/A</v>
      </c>
      <c r="F1081" s="1" t="s">
        <v>3384</v>
      </c>
      <c r="G1081" s="4" t="str">
        <f>HYPERLINK("http://nimonikapp.com/legislations/1275","http://nimonikapp.com/legislations/1275")</f>
        <v>http://nimonikapp.com/legislations/1275</v>
      </c>
      <c r="H1081" s="1" t="s">
        <v>18</v>
      </c>
      <c r="I1081" s="1" t="s">
        <v>3385</v>
      </c>
      <c r="J1081" s="1" t="s">
        <v>3386</v>
      </c>
      <c r="K1081" s="5">
        <v>44688.0</v>
      </c>
      <c r="L1081" s="5">
        <v>44743.0</v>
      </c>
      <c r="M1081" s="5">
        <v>44679.0</v>
      </c>
      <c r="N1081" s="1" t="s">
        <v>3387</v>
      </c>
    </row>
    <row r="1082">
      <c r="A1082" s="1" t="s">
        <v>70</v>
      </c>
      <c r="B1082" s="1" t="s">
        <v>25</v>
      </c>
      <c r="C1082" s="1" t="s">
        <v>538</v>
      </c>
      <c r="D1082" s="1" t="s">
        <v>26</v>
      </c>
      <c r="E1082" s="1" t="str">
        <f>Vlookup(C1082,'Oil &amp; Gas Documents - Canada'!F:N,9,FALSE)</f>
        <v>#N/A</v>
      </c>
      <c r="F1082" s="1" t="s">
        <v>537</v>
      </c>
      <c r="G1082" s="4" t="str">
        <f>HYPERLINK("http://nimonikapp.com/legislations/141287","http://nimonikapp.com/legislations/141287")</f>
        <v>http://nimonikapp.com/legislations/141287</v>
      </c>
      <c r="H1082" s="1" t="s">
        <v>18</v>
      </c>
      <c r="I1082" s="1" t="s">
        <v>540</v>
      </c>
      <c r="J1082" s="1" t="s">
        <v>541</v>
      </c>
      <c r="K1082" s="5">
        <v>44688.0</v>
      </c>
      <c r="L1082" s="5">
        <v>44671.0</v>
      </c>
      <c r="M1082" s="5">
        <v>44679.0</v>
      </c>
      <c r="N1082" s="1" t="s">
        <v>539</v>
      </c>
    </row>
    <row r="1083">
      <c r="A1083" s="1" t="s">
        <v>70</v>
      </c>
      <c r="B1083" s="1" t="s">
        <v>25</v>
      </c>
      <c r="C1083" s="1" t="s">
        <v>543</v>
      </c>
      <c r="D1083" s="1" t="s">
        <v>26</v>
      </c>
      <c r="E1083" s="1" t="str">
        <f>Vlookup(C1083,'Oil &amp; Gas Documents - Canada'!F:N,9,FALSE)</f>
        <v>#N/A</v>
      </c>
      <c r="F1083" s="1" t="s">
        <v>542</v>
      </c>
      <c r="G1083" s="4" t="str">
        <f>HYPERLINK("http://nimonikapp.com/legislations/1045","http://nimonikapp.com/legislations/1045")</f>
        <v>http://nimonikapp.com/legislations/1045</v>
      </c>
      <c r="H1083" s="1" t="s">
        <v>18</v>
      </c>
      <c r="I1083" s="1" t="s">
        <v>545</v>
      </c>
      <c r="J1083" s="1" t="s">
        <v>546</v>
      </c>
      <c r="K1083" s="5">
        <v>44688.0</v>
      </c>
      <c r="L1083" s="5">
        <v>44671.0</v>
      </c>
      <c r="M1083" s="5">
        <v>44679.0</v>
      </c>
      <c r="N1083" s="1" t="s">
        <v>544</v>
      </c>
    </row>
    <row r="1084" hidden="1">
      <c r="A1084" s="1" t="s">
        <v>70</v>
      </c>
      <c r="B1084" s="1" t="s">
        <v>25</v>
      </c>
      <c r="C1084" s="1" t="s">
        <v>3388</v>
      </c>
      <c r="D1084" s="1" t="str">
        <f>Vlookup(C1084,'Oil &amp; Gas Documents - Canada'!F:M,2,FALSE)</f>
        <v>#N/A</v>
      </c>
      <c r="E1084" s="1" t="str">
        <f>Vlookup(C1084,'Oil &amp; Gas Documents - Canada'!F:N,9,FALSE)</f>
        <v>#N/A</v>
      </c>
      <c r="F1084" s="1" t="s">
        <v>3389</v>
      </c>
      <c r="G1084" s="4" t="str">
        <f>HYPERLINK("http://nimonikapp.com/legislations/1050","http://nimonikapp.com/legislations/1050")</f>
        <v>http://nimonikapp.com/legislations/1050</v>
      </c>
      <c r="H1084" s="1" t="s">
        <v>18</v>
      </c>
      <c r="I1084" s="1" t="s">
        <v>3390</v>
      </c>
      <c r="J1084" s="1" t="s">
        <v>3391</v>
      </c>
      <c r="K1084" s="5">
        <v>44688.0</v>
      </c>
      <c r="L1084" s="5">
        <v>44743.0</v>
      </c>
      <c r="M1084" s="5">
        <v>44679.0</v>
      </c>
      <c r="N1084" s="1" t="s">
        <v>3392</v>
      </c>
    </row>
    <row r="1085" hidden="1">
      <c r="A1085" s="1" t="s">
        <v>70</v>
      </c>
      <c r="B1085" s="1" t="s">
        <v>25</v>
      </c>
      <c r="C1085" s="1" t="s">
        <v>3393</v>
      </c>
      <c r="D1085" s="1" t="str">
        <f>Vlookup(C1085,'Oil &amp; Gas Documents - Canada'!F:M,2,FALSE)</f>
        <v>#N/A</v>
      </c>
      <c r="E1085" s="1" t="str">
        <f>Vlookup(C1085,'Oil &amp; Gas Documents - Canada'!F:N,9,FALSE)</f>
        <v>#N/A</v>
      </c>
      <c r="F1085" s="1" t="s">
        <v>3394</v>
      </c>
      <c r="G1085" s="4" t="str">
        <f>HYPERLINK("http://nimonikapp.com/legislations/1180","http://nimonikapp.com/legislations/1180")</f>
        <v>http://nimonikapp.com/legislations/1180</v>
      </c>
      <c r="H1085" s="1" t="s">
        <v>18</v>
      </c>
      <c r="I1085" s="1" t="s">
        <v>3395</v>
      </c>
      <c r="J1085" s="1" t="s">
        <v>3396</v>
      </c>
      <c r="K1085" s="5">
        <v>44688.0</v>
      </c>
      <c r="L1085" s="5">
        <v>44671.0</v>
      </c>
      <c r="M1085" s="5">
        <v>44679.0</v>
      </c>
      <c r="N1085" s="1" t="s">
        <v>3397</v>
      </c>
    </row>
    <row r="1086" hidden="1">
      <c r="A1086" s="1" t="s">
        <v>70</v>
      </c>
      <c r="B1086" s="1" t="s">
        <v>25</v>
      </c>
      <c r="C1086" s="1" t="s">
        <v>3398</v>
      </c>
      <c r="D1086" s="1" t="str">
        <f>Vlookup(C1086,'Oil &amp; Gas Documents - Canada'!F:M,2,FALSE)</f>
        <v>#N/A</v>
      </c>
      <c r="E1086" s="1" t="str">
        <f>Vlookup(C1086,'Oil &amp; Gas Documents - Canada'!F:N,9,FALSE)</f>
        <v>#N/A</v>
      </c>
      <c r="F1086" s="1" t="s">
        <v>3399</v>
      </c>
      <c r="G1086" s="4" t="str">
        <f>HYPERLINK("http://nimonikapp.com/legislations/109899","http://nimonikapp.com/legislations/109899")</f>
        <v>http://nimonikapp.com/legislations/109899</v>
      </c>
      <c r="H1086" s="1" t="s">
        <v>18</v>
      </c>
      <c r="I1086" s="1" t="s">
        <v>3400</v>
      </c>
      <c r="J1086" s="1" t="s">
        <v>3401</v>
      </c>
      <c r="K1086" s="5">
        <v>44688.0</v>
      </c>
      <c r="L1086" s="5">
        <v>45108.0</v>
      </c>
      <c r="M1086" s="5">
        <v>44679.0</v>
      </c>
      <c r="N1086" s="1" t="s">
        <v>3402</v>
      </c>
    </row>
    <row r="1087" hidden="1">
      <c r="A1087" s="1" t="s">
        <v>70</v>
      </c>
      <c r="B1087" s="1" t="s">
        <v>25</v>
      </c>
      <c r="C1087" s="1" t="s">
        <v>3403</v>
      </c>
      <c r="D1087" s="1" t="str">
        <f>Vlookup(C1087,'Oil &amp; Gas Documents - Canada'!F:M,2,FALSE)</f>
        <v>#N/A</v>
      </c>
      <c r="E1087" s="1" t="str">
        <f>Vlookup(C1087,'Oil &amp; Gas Documents - Canada'!F:N,9,FALSE)</f>
        <v>#N/A</v>
      </c>
      <c r="F1087" s="1" t="s">
        <v>3404</v>
      </c>
      <c r="G1087" s="4" t="str">
        <f>HYPERLINK("http://nimonikapp.com/legislations/104380","http://nimonikapp.com/legislations/104380")</f>
        <v>http://nimonikapp.com/legislations/104380</v>
      </c>
      <c r="H1087" s="1" t="s">
        <v>18</v>
      </c>
      <c r="I1087" s="1" t="s">
        <v>3405</v>
      </c>
      <c r="J1087" s="1" t="s">
        <v>3406</v>
      </c>
      <c r="K1087" s="5">
        <v>44688.0</v>
      </c>
      <c r="L1087" s="5">
        <v>44927.0</v>
      </c>
      <c r="M1087" s="5">
        <v>44679.0</v>
      </c>
      <c r="N1087" s="1" t="s">
        <v>3407</v>
      </c>
    </row>
    <row r="1088" hidden="1">
      <c r="A1088" s="1" t="s">
        <v>70</v>
      </c>
      <c r="B1088" s="1" t="s">
        <v>25</v>
      </c>
      <c r="C1088" s="1" t="s">
        <v>3408</v>
      </c>
      <c r="D1088" s="1" t="str">
        <f>Vlookup(C1088,'Oil &amp; Gas Documents - Canada'!F:M,2,FALSE)</f>
        <v>#N/A</v>
      </c>
      <c r="E1088" s="1" t="str">
        <f>Vlookup(C1088,'Oil &amp; Gas Documents - Canada'!F:N,9,FALSE)</f>
        <v>#N/A</v>
      </c>
      <c r="F1088" s="1" t="s">
        <v>3409</v>
      </c>
      <c r="G1088" s="4" t="str">
        <f>HYPERLINK("http://nimonikapp.com/legislations/105987","http://nimonikapp.com/legislations/105987")</f>
        <v>http://nimonikapp.com/legislations/105987</v>
      </c>
      <c r="H1088" s="1" t="s">
        <v>18</v>
      </c>
      <c r="I1088" s="1" t="s">
        <v>3410</v>
      </c>
      <c r="J1088" s="1" t="s">
        <v>3411</v>
      </c>
      <c r="K1088" s="5">
        <v>44688.0</v>
      </c>
      <c r="L1088" s="5">
        <v>44672.0</v>
      </c>
      <c r="M1088" s="5">
        <v>44679.0</v>
      </c>
      <c r="N1088" s="1" t="s">
        <v>3412</v>
      </c>
    </row>
    <row r="1089" hidden="1">
      <c r="A1089" s="1" t="s">
        <v>70</v>
      </c>
      <c r="B1089" s="1" t="s">
        <v>25</v>
      </c>
      <c r="C1089" s="1" t="s">
        <v>3413</v>
      </c>
      <c r="D1089" s="1" t="str">
        <f>Vlookup(C1089,'Oil &amp; Gas Documents - Canada'!F:M,2,FALSE)</f>
        <v>#N/A</v>
      </c>
      <c r="E1089" s="1" t="str">
        <f>Vlookup(C1089,'Oil &amp; Gas Documents - Canada'!F:N,9,FALSE)</f>
        <v>#N/A</v>
      </c>
      <c r="F1089" s="1" t="s">
        <v>3414</v>
      </c>
      <c r="G1089" s="4" t="str">
        <f>HYPERLINK("http://nimonikapp.com/legislations/2365","http://nimonikapp.com/legislations/2365")</f>
        <v>http://nimonikapp.com/legislations/2365</v>
      </c>
      <c r="H1089" s="1" t="s">
        <v>18</v>
      </c>
      <c r="I1089" s="1" t="s">
        <v>3415</v>
      </c>
      <c r="J1089" s="1" t="s">
        <v>3416</v>
      </c>
      <c r="K1089" s="5">
        <v>44688.0</v>
      </c>
      <c r="L1089" s="5">
        <v>44673.0</v>
      </c>
      <c r="M1089" s="5">
        <v>44679.0</v>
      </c>
      <c r="N1089" s="1" t="s">
        <v>3417</v>
      </c>
    </row>
    <row r="1090" hidden="1">
      <c r="A1090" s="1" t="s">
        <v>70</v>
      </c>
      <c r="B1090" s="1" t="s">
        <v>25</v>
      </c>
      <c r="C1090" s="1" t="s">
        <v>3418</v>
      </c>
      <c r="D1090" s="1" t="str">
        <f>Vlookup(C1090,'Oil &amp; Gas Documents - Canada'!F:M,2,FALSE)</f>
        <v>#N/A</v>
      </c>
      <c r="E1090" s="1" t="str">
        <f>Vlookup(C1090,'Oil &amp; Gas Documents - Canada'!F:N,9,FALSE)</f>
        <v>#N/A</v>
      </c>
      <c r="F1090" s="1" t="s">
        <v>3419</v>
      </c>
      <c r="G1090" s="4" t="str">
        <f>HYPERLINK("http://nimonikapp.com/legislations/1271","http://nimonikapp.com/legislations/1271")</f>
        <v>http://nimonikapp.com/legislations/1271</v>
      </c>
      <c r="H1090" s="1" t="s">
        <v>18</v>
      </c>
      <c r="I1090" s="1" t="s">
        <v>3420</v>
      </c>
      <c r="J1090" s="1" t="s">
        <v>3421</v>
      </c>
      <c r="K1090" s="5">
        <v>44688.0</v>
      </c>
      <c r="L1090" s="5">
        <v>44673.0</v>
      </c>
      <c r="M1090" s="5">
        <v>44679.0</v>
      </c>
      <c r="N1090" s="1" t="s">
        <v>3422</v>
      </c>
    </row>
    <row r="1091" hidden="1">
      <c r="A1091" s="1" t="s">
        <v>70</v>
      </c>
      <c r="B1091" s="1" t="s">
        <v>25</v>
      </c>
      <c r="C1091" s="1" t="s">
        <v>3423</v>
      </c>
      <c r="D1091" s="1" t="str">
        <f>Vlookup(C1091,'Oil &amp; Gas Documents - Canada'!F:M,2,FALSE)</f>
        <v>#N/A</v>
      </c>
      <c r="E1091" s="1" t="str">
        <f>Vlookup(C1091,'Oil &amp; Gas Documents - Canada'!F:N,9,FALSE)</f>
        <v>#N/A</v>
      </c>
      <c r="F1091" s="1" t="s">
        <v>3424</v>
      </c>
      <c r="G1091" s="4" t="str">
        <f>HYPERLINK("http://nimonikapp.com/legislations/116969","http://nimonikapp.com/legislations/116969")</f>
        <v>http://nimonikapp.com/legislations/116969</v>
      </c>
      <c r="H1091" s="1" t="s">
        <v>18</v>
      </c>
      <c r="I1091" s="1" t="s">
        <v>3425</v>
      </c>
      <c r="J1091" s="1" t="s">
        <v>3426</v>
      </c>
      <c r="K1091" s="5">
        <v>44688.0</v>
      </c>
      <c r="L1091" s="5">
        <v>44673.0</v>
      </c>
      <c r="M1091" s="5">
        <v>44679.0</v>
      </c>
      <c r="N1091" s="1" t="s">
        <v>3427</v>
      </c>
    </row>
    <row r="1092" hidden="1">
      <c r="A1092" s="1" t="s">
        <v>70</v>
      </c>
      <c r="B1092" s="1" t="s">
        <v>25</v>
      </c>
      <c r="C1092" s="1" t="s">
        <v>3263</v>
      </c>
      <c r="D1092" s="1" t="str">
        <f>Vlookup(C1092,'Oil &amp; Gas Documents - Canada'!F:M,2,FALSE)</f>
        <v>#N/A</v>
      </c>
      <c r="E1092" s="1" t="str">
        <f>Vlookup(C1092,'Oil &amp; Gas Documents - Canada'!F:N,9,FALSE)</f>
        <v>#N/A</v>
      </c>
      <c r="F1092" s="1" t="s">
        <v>3264</v>
      </c>
      <c r="G1092" s="4" t="str">
        <f>HYPERLINK("http://nimonikapp.com/legislations/4020","http://nimonikapp.com/legislations/4020")</f>
        <v>http://nimonikapp.com/legislations/4020</v>
      </c>
      <c r="H1092" s="1" t="s">
        <v>18</v>
      </c>
      <c r="I1092" s="1" t="s">
        <v>3428</v>
      </c>
      <c r="J1092" s="1" t="s">
        <v>3266</v>
      </c>
      <c r="K1092" s="5">
        <v>44695.0</v>
      </c>
      <c r="L1092" s="5">
        <v>44677.0</v>
      </c>
      <c r="M1092" s="5">
        <v>44679.0</v>
      </c>
      <c r="N1092" s="1" t="s">
        <v>3267</v>
      </c>
    </row>
    <row r="1093" hidden="1">
      <c r="A1093" s="1" t="s">
        <v>70</v>
      </c>
      <c r="B1093" s="1" t="s">
        <v>25</v>
      </c>
      <c r="C1093" s="1" t="s">
        <v>3429</v>
      </c>
      <c r="D1093" s="1" t="str">
        <f>Vlookup(C1093,'Oil &amp; Gas Documents - Canada'!F:M,2,FALSE)</f>
        <v>#N/A</v>
      </c>
      <c r="E1093" s="1" t="str">
        <f>Vlookup(C1093,'Oil &amp; Gas Documents - Canada'!F:N,9,FALSE)</f>
        <v>#N/A</v>
      </c>
      <c r="F1093" s="1" t="s">
        <v>3430</v>
      </c>
      <c r="G1093" s="4" t="str">
        <f>HYPERLINK("http://nimonikapp.com/legislations/1297","http://nimonikapp.com/legislations/1297")</f>
        <v>http://nimonikapp.com/legislations/1297</v>
      </c>
      <c r="H1093" s="1" t="s">
        <v>18</v>
      </c>
      <c r="I1093" s="1" t="s">
        <v>3431</v>
      </c>
      <c r="J1093" s="1" t="s">
        <v>3432</v>
      </c>
      <c r="K1093" s="5">
        <v>44688.0</v>
      </c>
      <c r="L1093" s="5">
        <v>44673.0</v>
      </c>
      <c r="M1093" s="5">
        <v>44679.0</v>
      </c>
      <c r="N1093" s="1" t="s">
        <v>3433</v>
      </c>
    </row>
    <row r="1094">
      <c r="A1094" s="1" t="s">
        <v>202</v>
      </c>
      <c r="B1094" s="1" t="s">
        <v>25</v>
      </c>
      <c r="C1094" s="1" t="s">
        <v>548</v>
      </c>
      <c r="D1094" s="1" t="str">
        <f>Vlookup(C1094,'Oil &amp; Gas Documents - Canada'!F:M,2,FALSE)</f>
        <v>oil_and_gas, mining_and_minerals_industry, healthcare_industry</v>
      </c>
      <c r="E1094" s="1" t="str">
        <f>Vlookup(C1094,'Oil &amp; Gas Documents - Canada'!F:N,9,FALSE)</f>
        <v/>
      </c>
      <c r="F1094" s="1" t="s">
        <v>547</v>
      </c>
      <c r="G1094" s="4" t="str">
        <f>HYPERLINK("http://nimonikapp.com/legislations/1069","http://nimonikapp.com/legislations/1069")</f>
        <v>http://nimonikapp.com/legislations/1069</v>
      </c>
      <c r="H1094" s="1" t="s">
        <v>18</v>
      </c>
      <c r="I1094" s="1" t="s">
        <v>550</v>
      </c>
      <c r="J1094" s="1" t="s">
        <v>551</v>
      </c>
      <c r="K1094" s="5">
        <v>44678.0</v>
      </c>
      <c r="L1094" s="5">
        <v>44693.0</v>
      </c>
      <c r="M1094" s="5">
        <v>44679.0</v>
      </c>
      <c r="N1094" s="1" t="s">
        <v>549</v>
      </c>
    </row>
    <row r="1095" hidden="1">
      <c r="A1095" s="1" t="s">
        <v>53</v>
      </c>
      <c r="B1095" s="1" t="s">
        <v>15</v>
      </c>
      <c r="C1095" s="1" t="s">
        <v>3434</v>
      </c>
      <c r="D1095" s="1" t="str">
        <f>Vlookup(C1095,'Oil &amp; Gas Documents - Canada'!F:M,2,FALSE)</f>
        <v>#N/A</v>
      </c>
      <c r="E1095" s="1" t="str">
        <f>Vlookup(C1095,'Oil &amp; Gas Documents - Canada'!F:N,9,FALSE)</f>
        <v>#N/A</v>
      </c>
      <c r="F1095" s="1" t="s">
        <v>3435</v>
      </c>
      <c r="G1095" s="4" t="str">
        <f>HYPERLINK("http://nimonikapp.com/legislations/344746","http://nimonikapp.com/legislations/344746")</f>
        <v>http://nimonikapp.com/legislations/344746</v>
      </c>
      <c r="H1095" s="1" t="s">
        <v>516</v>
      </c>
      <c r="K1095" s="5">
        <v>44663.0</v>
      </c>
      <c r="M1095" s="5">
        <v>44676.0</v>
      </c>
    </row>
    <row r="1096" hidden="1">
      <c r="A1096" s="1" t="s">
        <v>24</v>
      </c>
      <c r="B1096" s="1" t="s">
        <v>15</v>
      </c>
      <c r="C1096" s="1" t="s">
        <v>3436</v>
      </c>
      <c r="D1096" s="1" t="str">
        <f>Vlookup(C1096,'Oil &amp; Gas Documents - Canada'!F:M,2,FALSE)</f>
        <v>#N/A</v>
      </c>
      <c r="E1096" s="1" t="str">
        <f>Vlookup(C1096,'Oil &amp; Gas Documents - Canada'!F:N,9,FALSE)</f>
        <v>#N/A</v>
      </c>
      <c r="F1096" s="1" t="s">
        <v>3437</v>
      </c>
      <c r="G1096" s="4" t="str">
        <f>HYPERLINK("http://nimonikapp.com/legislations/344712","http://nimonikapp.com/legislations/344712")</f>
        <v>http://nimonikapp.com/legislations/344712</v>
      </c>
      <c r="H1096" s="1" t="s">
        <v>516</v>
      </c>
      <c r="K1096" s="5">
        <v>44672.0</v>
      </c>
      <c r="M1096" s="5">
        <v>44676.0</v>
      </c>
    </row>
    <row r="1097" hidden="1">
      <c r="A1097" s="1" t="s">
        <v>24</v>
      </c>
      <c r="B1097" s="1" t="s">
        <v>15</v>
      </c>
      <c r="C1097" s="1" t="s">
        <v>3438</v>
      </c>
      <c r="D1097" s="1" t="str">
        <f>Vlookup(C1097,'Oil &amp; Gas Documents - Canada'!F:M,2,FALSE)</f>
        <v>#N/A</v>
      </c>
      <c r="E1097" s="1" t="str">
        <f>Vlookup(C1097,'Oil &amp; Gas Documents - Canada'!F:N,9,FALSE)</f>
        <v>#N/A</v>
      </c>
      <c r="F1097" s="1" t="s">
        <v>3439</v>
      </c>
      <c r="G1097" s="4" t="str">
        <f>HYPERLINK("http://nimonikapp.com/legislations/344679","http://nimonikapp.com/legislations/344679")</f>
        <v>http://nimonikapp.com/legislations/344679</v>
      </c>
      <c r="H1097" s="1" t="s">
        <v>516</v>
      </c>
      <c r="K1097" s="5">
        <v>44664.0</v>
      </c>
      <c r="M1097" s="5">
        <v>44676.0</v>
      </c>
    </row>
    <row r="1098" hidden="1">
      <c r="A1098" s="1" t="s">
        <v>73</v>
      </c>
      <c r="B1098" s="1" t="s">
        <v>15</v>
      </c>
      <c r="C1098" s="1" t="s">
        <v>3440</v>
      </c>
      <c r="D1098" s="1" t="str">
        <f>Vlookup(C1098,'Oil &amp; Gas Documents - Canada'!F:M,2,FALSE)</f>
        <v>#N/A</v>
      </c>
      <c r="E1098" s="1" t="str">
        <f>Vlookup(C1098,'Oil &amp; Gas Documents - Canada'!F:N,9,FALSE)</f>
        <v>#N/A</v>
      </c>
      <c r="F1098" s="1" t="s">
        <v>3441</v>
      </c>
      <c r="G1098" s="4" t="str">
        <f>HYPERLINK("http://nimonikapp.com/legislations/7083","http://nimonikapp.com/legislations/7083")</f>
        <v>http://nimonikapp.com/legislations/7083</v>
      </c>
      <c r="H1098" s="1" t="s">
        <v>18</v>
      </c>
      <c r="I1098" s="1" t="s">
        <v>3442</v>
      </c>
      <c r="J1098" s="1" t="s">
        <v>3443</v>
      </c>
      <c r="K1098" s="5">
        <v>44648.0</v>
      </c>
      <c r="M1098" s="5">
        <v>44676.0</v>
      </c>
      <c r="N1098" s="1" t="s">
        <v>3444</v>
      </c>
    </row>
    <row r="1099">
      <c r="A1099" s="1" t="s">
        <v>73</v>
      </c>
      <c r="B1099" s="1" t="s">
        <v>15</v>
      </c>
      <c r="C1099" s="1" t="s">
        <v>553</v>
      </c>
      <c r="D1099" s="1" t="s">
        <v>26</v>
      </c>
      <c r="E1099" s="1" t="str">
        <f>Vlookup(C1099,'Oil &amp; Gas Documents - Canada'!F:N,9,FALSE)</f>
        <v>#N/A</v>
      </c>
      <c r="F1099" s="1" t="s">
        <v>552</v>
      </c>
      <c r="G1099" s="4" t="str">
        <f>HYPERLINK("http://nimonikapp.com/legislations/7084","http://nimonikapp.com/legislations/7084")</f>
        <v>http://nimonikapp.com/legislations/7084</v>
      </c>
      <c r="H1099" s="1" t="s">
        <v>18</v>
      </c>
      <c r="I1099" s="1" t="s">
        <v>555</v>
      </c>
      <c r="J1099" s="1" t="s">
        <v>556</v>
      </c>
      <c r="K1099" s="5">
        <v>44648.0</v>
      </c>
      <c r="M1099" s="5">
        <v>44676.0</v>
      </c>
      <c r="N1099" s="1" t="s">
        <v>554</v>
      </c>
    </row>
    <row r="1100" hidden="1">
      <c r="A1100" s="1" t="s">
        <v>73</v>
      </c>
      <c r="B1100" s="1" t="s">
        <v>15</v>
      </c>
      <c r="C1100" s="1" t="s">
        <v>3445</v>
      </c>
      <c r="D1100" s="1" t="str">
        <f>Vlookup(C1100,'Oil &amp; Gas Documents - Canada'!F:M,2,FALSE)</f>
        <v>#N/A</v>
      </c>
      <c r="E1100" s="1" t="str">
        <f>Vlookup(C1100,'Oil &amp; Gas Documents - Canada'!F:N,9,FALSE)</f>
        <v>#N/A</v>
      </c>
      <c r="F1100" s="1" t="s">
        <v>3446</v>
      </c>
      <c r="G1100" s="4" t="str">
        <f>HYPERLINK("http://nimonikapp.com/legislations/7085","http://nimonikapp.com/legislations/7085")</f>
        <v>http://nimonikapp.com/legislations/7085</v>
      </c>
      <c r="H1100" s="1" t="s">
        <v>18</v>
      </c>
      <c r="I1100" s="1" t="s">
        <v>3447</v>
      </c>
      <c r="J1100" s="1" t="s">
        <v>3448</v>
      </c>
      <c r="K1100" s="5">
        <v>44648.0</v>
      </c>
      <c r="M1100" s="5">
        <v>44676.0</v>
      </c>
      <c r="N1100" s="1" t="s">
        <v>3449</v>
      </c>
    </row>
    <row r="1101" hidden="1">
      <c r="A1101" s="1" t="s">
        <v>73</v>
      </c>
      <c r="B1101" s="1" t="s">
        <v>15</v>
      </c>
      <c r="C1101" s="1" t="s">
        <v>3450</v>
      </c>
      <c r="D1101" s="1" t="str">
        <f>Vlookup(C1101,'Oil &amp; Gas Documents - Canada'!F:M,2,FALSE)</f>
        <v>#N/A</v>
      </c>
      <c r="E1101" s="1" t="str">
        <f>Vlookup(C1101,'Oil &amp; Gas Documents - Canada'!F:N,9,FALSE)</f>
        <v>#N/A</v>
      </c>
      <c r="F1101" s="1" t="s">
        <v>3451</v>
      </c>
      <c r="G1101" s="4" t="str">
        <f>HYPERLINK("http://nimonikapp.com/legislations/282784","http://nimonikapp.com/legislations/282784")</f>
        <v>http://nimonikapp.com/legislations/282784</v>
      </c>
      <c r="H1101" s="1" t="s">
        <v>18</v>
      </c>
      <c r="I1101" s="1" t="s">
        <v>3452</v>
      </c>
      <c r="J1101" s="1" t="s">
        <v>3453</v>
      </c>
      <c r="K1101" s="5">
        <v>44648.0</v>
      </c>
      <c r="M1101" s="5">
        <v>44676.0</v>
      </c>
      <c r="N1101" s="1" t="s">
        <v>3454</v>
      </c>
    </row>
    <row r="1102" hidden="1">
      <c r="A1102" s="1" t="s">
        <v>53</v>
      </c>
      <c r="B1102" s="1" t="s">
        <v>25</v>
      </c>
      <c r="C1102" s="1" t="s">
        <v>3238</v>
      </c>
      <c r="D1102" s="1" t="str">
        <f>Vlookup(C1102,'Oil &amp; Gas Documents - Canada'!F:M,2,FALSE)</f>
        <v>#N/A</v>
      </c>
      <c r="E1102" s="1" t="str">
        <f>Vlookup(C1102,'Oil &amp; Gas Documents - Canada'!F:N,9,FALSE)</f>
        <v>#N/A</v>
      </c>
      <c r="F1102" s="1" t="s">
        <v>2660</v>
      </c>
      <c r="G1102" s="4" t="str">
        <f>HYPERLINK("http://nimonikapp.com/legislations/15565","http://nimonikapp.com/legislations/15565")</f>
        <v>http://nimonikapp.com/legislations/15565</v>
      </c>
      <c r="H1102" s="1" t="s">
        <v>18</v>
      </c>
      <c r="I1102" s="1" t="s">
        <v>3455</v>
      </c>
      <c r="J1102" s="1" t="s">
        <v>3456</v>
      </c>
      <c r="K1102" s="5">
        <v>44673.0</v>
      </c>
      <c r="M1102" s="5">
        <v>44676.0</v>
      </c>
      <c r="N1102" s="1" t="s">
        <v>3241</v>
      </c>
    </row>
    <row r="1103" hidden="1">
      <c r="A1103" s="1" t="s">
        <v>73</v>
      </c>
      <c r="B1103" s="1" t="s">
        <v>364</v>
      </c>
      <c r="C1103" s="1" t="s">
        <v>3457</v>
      </c>
      <c r="D1103" s="1" t="str">
        <f>Vlookup(C1103,'Oil &amp; Gas Documents - Canada'!F:M,2,FALSE)</f>
        <v>#N/A</v>
      </c>
      <c r="E1103" s="1" t="str">
        <f>Vlookup(C1103,'Oil &amp; Gas Documents - Canada'!F:N,9,FALSE)</f>
        <v>#N/A</v>
      </c>
      <c r="F1103" s="1" t="s">
        <v>3458</v>
      </c>
      <c r="G1103" s="4" t="str">
        <f>HYPERLINK("http://nimonikapp.com/legislations/342594","http://nimonikapp.com/legislations/342594")</f>
        <v>http://nimonikapp.com/legislations/342594</v>
      </c>
      <c r="H1103" s="1" t="s">
        <v>356</v>
      </c>
      <c r="I1103" s="1" t="s">
        <v>3250</v>
      </c>
      <c r="J1103" s="1" t="s">
        <v>3251</v>
      </c>
      <c r="K1103" s="5">
        <v>44674.0</v>
      </c>
      <c r="L1103" s="5">
        <v>44657.0</v>
      </c>
      <c r="M1103" s="5">
        <v>44676.0</v>
      </c>
      <c r="N1103" s="1" t="s">
        <v>3459</v>
      </c>
    </row>
    <row r="1104" hidden="1">
      <c r="A1104" s="1" t="s">
        <v>202</v>
      </c>
      <c r="B1104" s="1" t="s">
        <v>25</v>
      </c>
      <c r="C1104" s="1" t="s">
        <v>3460</v>
      </c>
      <c r="D1104" s="1" t="str">
        <f>Vlookup(C1104,'Oil &amp; Gas Documents - Canada'!F:M,2,FALSE)</f>
        <v>#N/A</v>
      </c>
      <c r="E1104" s="1" t="str">
        <f>Vlookup(C1104,'Oil &amp; Gas Documents - Canada'!F:N,9,FALSE)</f>
        <v>#N/A</v>
      </c>
      <c r="F1104" s="1" t="s">
        <v>3461</v>
      </c>
      <c r="G1104" s="4" t="str">
        <f>HYPERLINK("http://nimonikapp.com/legislations/1082","http://nimonikapp.com/legislations/1082")</f>
        <v>http://nimonikapp.com/legislations/1082</v>
      </c>
      <c r="H1104" s="1" t="s">
        <v>18</v>
      </c>
      <c r="I1104" s="1" t="s">
        <v>3462</v>
      </c>
      <c r="J1104" s="1" t="s">
        <v>3463</v>
      </c>
      <c r="K1104" s="5">
        <v>44674.0</v>
      </c>
      <c r="M1104" s="5">
        <v>44676.0</v>
      </c>
      <c r="N1104" s="1" t="s">
        <v>3464</v>
      </c>
    </row>
    <row r="1105" hidden="1">
      <c r="A1105" s="1" t="s">
        <v>14</v>
      </c>
      <c r="B1105" s="1" t="s">
        <v>25</v>
      </c>
      <c r="C1105" s="1" t="s">
        <v>3465</v>
      </c>
      <c r="D1105" s="1" t="str">
        <f>Vlookup(C1105,'Oil &amp; Gas Documents - Canada'!F:M,2,FALSE)</f>
        <v>#N/A</v>
      </c>
      <c r="E1105" s="1" t="str">
        <f>Vlookup(C1105,'Oil &amp; Gas Documents - Canada'!F:N,9,FALSE)</f>
        <v>#N/A</v>
      </c>
      <c r="F1105" s="1" t="s">
        <v>3466</v>
      </c>
      <c r="G1105" s="4" t="str">
        <f>HYPERLINK("http://nimonikapp.com/legislations/3610","http://nimonikapp.com/legislations/3610")</f>
        <v>http://nimonikapp.com/legislations/3610</v>
      </c>
      <c r="H1105" s="1" t="s">
        <v>18</v>
      </c>
      <c r="I1105" s="1" t="s">
        <v>3467</v>
      </c>
      <c r="J1105" s="1" t="s">
        <v>3468</v>
      </c>
      <c r="K1105" s="5">
        <v>44673.0</v>
      </c>
      <c r="L1105" s="5">
        <v>44665.0</v>
      </c>
      <c r="M1105" s="5">
        <v>44676.0</v>
      </c>
      <c r="N1105" s="1" t="s">
        <v>3469</v>
      </c>
    </row>
    <row r="1106" hidden="1">
      <c r="A1106" s="1" t="s">
        <v>73</v>
      </c>
      <c r="B1106" s="1" t="s">
        <v>15</v>
      </c>
      <c r="C1106" s="1" t="s">
        <v>3470</v>
      </c>
      <c r="D1106" s="1" t="str">
        <f>Vlookup(C1106,'Oil &amp; Gas Documents - Canada'!F:M,2,FALSE)</f>
        <v>#N/A</v>
      </c>
      <c r="E1106" s="1" t="str">
        <f>Vlookup(C1106,'Oil &amp; Gas Documents - Canada'!F:N,9,FALSE)</f>
        <v>#N/A</v>
      </c>
      <c r="F1106" s="1" t="s">
        <v>3471</v>
      </c>
      <c r="G1106" s="4" t="str">
        <f>HYPERLINK("http://nimonikapp.com/legislations/13523","http://nimonikapp.com/legislations/13523")</f>
        <v>http://nimonikapp.com/legislations/13523</v>
      </c>
      <c r="H1106" s="1" t="s">
        <v>18</v>
      </c>
      <c r="I1106" s="1" t="s">
        <v>3472</v>
      </c>
      <c r="J1106" s="1" t="s">
        <v>3473</v>
      </c>
      <c r="K1106" s="5">
        <v>44160.0</v>
      </c>
      <c r="L1106" s="5">
        <v>44525.0</v>
      </c>
      <c r="M1106" s="5">
        <v>44676.0</v>
      </c>
      <c r="N1106" s="1" t="s">
        <v>3474</v>
      </c>
    </row>
    <row r="1107" hidden="1">
      <c r="A1107" s="1" t="s">
        <v>73</v>
      </c>
      <c r="B1107" s="1" t="s">
        <v>25</v>
      </c>
      <c r="C1107" s="1" t="s">
        <v>3475</v>
      </c>
      <c r="D1107" s="1" t="str">
        <f>Vlookup(C1107,'Oil &amp; Gas Documents - Canada'!F:M,2,FALSE)</f>
        <v>#N/A</v>
      </c>
      <c r="E1107" s="1" t="str">
        <f>Vlookup(C1107,'Oil &amp; Gas Documents - Canada'!F:N,9,FALSE)</f>
        <v>#N/A</v>
      </c>
      <c r="F1107" s="1" t="s">
        <v>3476</v>
      </c>
      <c r="G1107" s="4" t="str">
        <f>HYPERLINK("http://nimonikapp.com/legislations/3971","http://nimonikapp.com/legislations/3971")</f>
        <v>http://nimonikapp.com/legislations/3971</v>
      </c>
      <c r="H1107" s="1" t="s">
        <v>18</v>
      </c>
      <c r="I1107" s="1" t="s">
        <v>3477</v>
      </c>
      <c r="J1107" s="1" t="s">
        <v>3478</v>
      </c>
      <c r="K1107" s="5">
        <v>44644.0</v>
      </c>
      <c r="L1107" s="5">
        <v>44644.0</v>
      </c>
      <c r="M1107" s="5">
        <v>44676.0</v>
      </c>
      <c r="N1107" s="1" t="s">
        <v>3479</v>
      </c>
    </row>
    <row r="1108" hidden="1">
      <c r="A1108" s="1" t="s">
        <v>70</v>
      </c>
      <c r="B1108" s="1" t="s">
        <v>25</v>
      </c>
      <c r="C1108" s="1" t="s">
        <v>3480</v>
      </c>
      <c r="D1108" s="1" t="str">
        <f>Vlookup(C1108,'Oil &amp; Gas Documents - Canada'!F:M,2,FALSE)</f>
        <v>#N/A</v>
      </c>
      <c r="E1108" s="1" t="str">
        <f>Vlookup(C1108,'Oil &amp; Gas Documents - Canada'!F:N,9,FALSE)</f>
        <v>#N/A</v>
      </c>
      <c r="F1108" s="1" t="s">
        <v>3481</v>
      </c>
      <c r="G1108" s="4" t="str">
        <f>HYPERLINK("http://nimonikapp.com/legislations/295906","http://nimonikapp.com/legislations/295906")</f>
        <v>http://nimonikapp.com/legislations/295906</v>
      </c>
      <c r="H1108" s="1" t="s">
        <v>18</v>
      </c>
      <c r="I1108" s="1" t="s">
        <v>3482</v>
      </c>
      <c r="J1108" s="1" t="s">
        <v>3483</v>
      </c>
      <c r="K1108" s="5">
        <v>44681.0</v>
      </c>
      <c r="L1108" s="5">
        <v>44665.0</v>
      </c>
      <c r="M1108" s="5">
        <v>44672.0</v>
      </c>
      <c r="N1108" s="1" t="s">
        <v>3484</v>
      </c>
    </row>
    <row r="1109" hidden="1">
      <c r="A1109" s="1" t="s">
        <v>70</v>
      </c>
      <c r="B1109" s="1" t="s">
        <v>25</v>
      </c>
      <c r="C1109" s="1" t="s">
        <v>1579</v>
      </c>
      <c r="D1109" s="1" t="str">
        <f>Vlookup(C1109,'Oil &amp; Gas Documents - Canada'!F:M,2,FALSE)</f>
        <v>#N/A</v>
      </c>
      <c r="E1109" s="1" t="str">
        <f>Vlookup(C1109,'Oil &amp; Gas Documents - Canada'!F:N,9,FALSE)</f>
        <v>#N/A</v>
      </c>
      <c r="F1109" s="1" t="s">
        <v>1580</v>
      </c>
      <c r="G1109" s="4" t="str">
        <f>HYPERLINK("http://nimonikapp.com/legislations/439","http://nimonikapp.com/legislations/439")</f>
        <v>http://nimonikapp.com/legislations/439</v>
      </c>
      <c r="H1109" s="1" t="s">
        <v>18</v>
      </c>
      <c r="I1109" s="1" t="s">
        <v>3119</v>
      </c>
      <c r="J1109" s="1" t="s">
        <v>3120</v>
      </c>
      <c r="K1109" s="5">
        <v>44665.0</v>
      </c>
      <c r="L1109" s="5">
        <v>44665.0</v>
      </c>
      <c r="M1109" s="5">
        <v>44672.0</v>
      </c>
      <c r="N1109" s="1" t="s">
        <v>1583</v>
      </c>
    </row>
    <row r="1110" hidden="1">
      <c r="A1110" s="1" t="s">
        <v>70</v>
      </c>
      <c r="B1110" s="1" t="s">
        <v>25</v>
      </c>
      <c r="C1110" s="1" t="s">
        <v>3485</v>
      </c>
      <c r="D1110" s="1" t="str">
        <f>Vlookup(C1110,'Oil &amp; Gas Documents - Canada'!F:M,2,FALSE)</f>
        <v>#N/A</v>
      </c>
      <c r="E1110" s="1" t="str">
        <f>Vlookup(C1110,'Oil &amp; Gas Documents - Canada'!F:N,9,FALSE)</f>
        <v>#N/A</v>
      </c>
      <c r="F1110" s="1" t="s">
        <v>3486</v>
      </c>
      <c r="G1110" s="4" t="str">
        <f>HYPERLINK("http://nimonikapp.com/legislations/120","http://nimonikapp.com/legislations/120")</f>
        <v>http://nimonikapp.com/legislations/120</v>
      </c>
      <c r="H1110" s="1" t="s">
        <v>18</v>
      </c>
      <c r="I1110" s="1" t="s">
        <v>3119</v>
      </c>
      <c r="J1110" s="1" t="s">
        <v>3120</v>
      </c>
      <c r="K1110" s="5">
        <v>44665.0</v>
      </c>
      <c r="L1110" s="5">
        <v>44665.0</v>
      </c>
      <c r="M1110" s="5">
        <v>44672.0</v>
      </c>
    </row>
    <row r="1111" hidden="1">
      <c r="A1111" s="1" t="s">
        <v>70</v>
      </c>
      <c r="B1111" s="1" t="s">
        <v>15</v>
      </c>
      <c r="C1111" s="1" t="s">
        <v>3487</v>
      </c>
      <c r="D1111" s="1" t="str">
        <f>Vlookup(C1111,'Oil &amp; Gas Documents - Canada'!F:M,2,FALSE)</f>
        <v>#N/A</v>
      </c>
      <c r="E1111" s="1" t="str">
        <f>Vlookup(C1111,'Oil &amp; Gas Documents - Canada'!F:N,9,FALSE)</f>
        <v>#N/A</v>
      </c>
      <c r="F1111" s="1" t="s">
        <v>3488</v>
      </c>
      <c r="G1111" s="4" t="str">
        <f>HYPERLINK("http://nimonikapp.com/legislations/344101","http://nimonikapp.com/legislations/344101")</f>
        <v>http://nimonikapp.com/legislations/344101</v>
      </c>
      <c r="H1111" s="1" t="s">
        <v>18</v>
      </c>
      <c r="K1111" s="5">
        <v>44681.0</v>
      </c>
      <c r="L1111" s="5">
        <v>44743.0</v>
      </c>
      <c r="M1111" s="5">
        <v>44671.0</v>
      </c>
    </row>
    <row r="1112" hidden="1">
      <c r="A1112" s="1" t="s">
        <v>70</v>
      </c>
      <c r="B1112" s="1" t="s">
        <v>25</v>
      </c>
      <c r="C1112" s="1" t="s">
        <v>1579</v>
      </c>
      <c r="D1112" s="1" t="str">
        <f>Vlookup(C1112,'Oil &amp; Gas Documents - Canada'!F:M,2,FALSE)</f>
        <v>#N/A</v>
      </c>
      <c r="E1112" s="1" t="str">
        <f>Vlookup(C1112,'Oil &amp; Gas Documents - Canada'!F:N,9,FALSE)</f>
        <v>#N/A</v>
      </c>
      <c r="F1112" s="1" t="s">
        <v>1580</v>
      </c>
      <c r="G1112" s="4" t="str">
        <f>HYPERLINK("http://nimonikapp.com/legislations/439","http://nimonikapp.com/legislations/439")</f>
        <v>http://nimonikapp.com/legislations/439</v>
      </c>
      <c r="H1112" s="1" t="s">
        <v>18</v>
      </c>
      <c r="I1112" s="1" t="s">
        <v>3489</v>
      </c>
      <c r="J1112" s="1" t="s">
        <v>3490</v>
      </c>
      <c r="K1112" s="5">
        <v>44667.0</v>
      </c>
      <c r="M1112" s="5">
        <v>44671.0</v>
      </c>
      <c r="N1112" s="1" t="s">
        <v>1583</v>
      </c>
    </row>
    <row r="1113" hidden="1">
      <c r="A1113" s="1" t="s">
        <v>70</v>
      </c>
      <c r="B1113" s="1" t="s">
        <v>25</v>
      </c>
      <c r="C1113" s="1" t="s">
        <v>3491</v>
      </c>
      <c r="D1113" s="1" t="str">
        <f>Vlookup(C1113,'Oil &amp; Gas Documents - Canada'!F:M,2,FALSE)</f>
        <v>#N/A</v>
      </c>
      <c r="E1113" s="1" t="str">
        <f>Vlookup(C1113,'Oil &amp; Gas Documents - Canada'!F:N,9,FALSE)</f>
        <v>#N/A</v>
      </c>
      <c r="F1113" s="1" t="s">
        <v>3492</v>
      </c>
      <c r="G1113" s="4" t="str">
        <f>HYPERLINK("http://nimonikapp.com/legislations/96265","http://nimonikapp.com/legislations/96265")</f>
        <v>http://nimonikapp.com/legislations/96265</v>
      </c>
      <c r="H1113" s="1" t="s">
        <v>18</v>
      </c>
      <c r="I1113" s="1" t="s">
        <v>3489</v>
      </c>
      <c r="J1113" s="1" t="s">
        <v>3490</v>
      </c>
      <c r="K1113" s="5">
        <v>44667.0</v>
      </c>
      <c r="M1113" s="5">
        <v>44671.0</v>
      </c>
      <c r="N1113" s="1" t="s">
        <v>3493</v>
      </c>
    </row>
    <row r="1114" hidden="1">
      <c r="A1114" s="1" t="s">
        <v>70</v>
      </c>
      <c r="B1114" s="1" t="s">
        <v>25</v>
      </c>
      <c r="C1114" s="1" t="s">
        <v>3494</v>
      </c>
      <c r="D1114" s="1" t="str">
        <f>Vlookup(C1114,'Oil &amp; Gas Documents - Canada'!F:M,2,FALSE)</f>
        <v>#N/A</v>
      </c>
      <c r="E1114" s="1" t="str">
        <f>Vlookup(C1114,'Oil &amp; Gas Documents - Canada'!F:N,9,FALSE)</f>
        <v>#N/A</v>
      </c>
      <c r="F1114" s="1" t="s">
        <v>2276</v>
      </c>
      <c r="G1114" s="4" t="str">
        <f>HYPERLINK("http://nimonikapp.com/legislations/131","http://nimonikapp.com/legislations/131")</f>
        <v>http://nimonikapp.com/legislations/131</v>
      </c>
      <c r="H1114" s="1" t="s">
        <v>18</v>
      </c>
      <c r="I1114" s="1" t="s">
        <v>3495</v>
      </c>
      <c r="J1114" s="1" t="s">
        <v>3496</v>
      </c>
      <c r="K1114" s="5">
        <v>44667.0</v>
      </c>
      <c r="M1114" s="5">
        <v>44671.0</v>
      </c>
    </row>
    <row r="1115" hidden="1">
      <c r="A1115" s="1" t="s">
        <v>70</v>
      </c>
      <c r="B1115" s="1" t="s">
        <v>25</v>
      </c>
      <c r="C1115" s="1" t="s">
        <v>3497</v>
      </c>
      <c r="D1115" s="1" t="str">
        <f>Vlookup(C1115,'Oil &amp; Gas Documents - Canada'!F:M,2,FALSE)</f>
        <v>#N/A</v>
      </c>
      <c r="E1115" s="1" t="str">
        <f>Vlookup(C1115,'Oil &amp; Gas Documents - Canada'!F:N,9,FALSE)</f>
        <v>#N/A</v>
      </c>
      <c r="F1115" s="1" t="s">
        <v>3498</v>
      </c>
      <c r="G1115" s="4" t="str">
        <f>HYPERLINK("http://nimonikapp.com/legislations/139358","http://nimonikapp.com/legislations/139358")</f>
        <v>http://nimonikapp.com/legislations/139358</v>
      </c>
      <c r="H1115" s="1" t="s">
        <v>18</v>
      </c>
      <c r="I1115" s="1" t="s">
        <v>3489</v>
      </c>
      <c r="J1115" s="1" t="s">
        <v>3490</v>
      </c>
      <c r="K1115" s="5">
        <v>44667.0</v>
      </c>
      <c r="M1115" s="5">
        <v>44671.0</v>
      </c>
      <c r="N1115" s="1" t="s">
        <v>1810</v>
      </c>
    </row>
    <row r="1116" hidden="1">
      <c r="A1116" s="1" t="s">
        <v>70</v>
      </c>
      <c r="B1116" s="1" t="s">
        <v>25</v>
      </c>
      <c r="C1116" s="1" t="s">
        <v>1806</v>
      </c>
      <c r="D1116" s="1" t="str">
        <f>Vlookup(C1116,'Oil &amp; Gas Documents - Canada'!F:M,2,FALSE)</f>
        <v>#N/A</v>
      </c>
      <c r="E1116" s="1" t="str">
        <f>Vlookup(C1116,'Oil &amp; Gas Documents - Canada'!F:N,9,FALSE)</f>
        <v>#N/A</v>
      </c>
      <c r="F1116" s="1" t="s">
        <v>1807</v>
      </c>
      <c r="G1116" s="4" t="str">
        <f>HYPERLINK("http://nimonikapp.com/legislations/128","http://nimonikapp.com/legislations/128")</f>
        <v>http://nimonikapp.com/legislations/128</v>
      </c>
      <c r="H1116" s="1" t="s">
        <v>18</v>
      </c>
      <c r="I1116" s="1" t="s">
        <v>3489</v>
      </c>
      <c r="J1116" s="1" t="s">
        <v>3490</v>
      </c>
      <c r="K1116" s="5">
        <v>44667.0</v>
      </c>
      <c r="M1116" s="5">
        <v>44671.0</v>
      </c>
      <c r="N1116" s="1" t="s">
        <v>1810</v>
      </c>
    </row>
    <row r="1117" hidden="1">
      <c r="A1117" s="1" t="s">
        <v>70</v>
      </c>
      <c r="B1117" s="1" t="s">
        <v>25</v>
      </c>
      <c r="C1117" s="1" t="s">
        <v>3499</v>
      </c>
      <c r="D1117" s="1" t="str">
        <f>Vlookup(C1117,'Oil &amp; Gas Documents - Canada'!F:M,2,FALSE)</f>
        <v>#N/A</v>
      </c>
      <c r="E1117" s="1" t="str">
        <f>Vlookup(C1117,'Oil &amp; Gas Documents - Canada'!F:N,9,FALSE)</f>
        <v>#N/A</v>
      </c>
      <c r="F1117" s="1" t="s">
        <v>3500</v>
      </c>
      <c r="G1117" s="4" t="str">
        <f>HYPERLINK("http://nimonikapp.com/legislations/125","http://nimonikapp.com/legislations/125")</f>
        <v>http://nimonikapp.com/legislations/125</v>
      </c>
      <c r="H1117" s="1" t="s">
        <v>18</v>
      </c>
      <c r="I1117" s="1" t="s">
        <v>3489</v>
      </c>
      <c r="J1117" s="1" t="s">
        <v>3490</v>
      </c>
      <c r="K1117" s="5">
        <v>44667.0</v>
      </c>
      <c r="M1117" s="5">
        <v>44671.0</v>
      </c>
      <c r="N1117" s="1" t="s">
        <v>1810</v>
      </c>
    </row>
    <row r="1118" hidden="1">
      <c r="A1118" s="1" t="s">
        <v>70</v>
      </c>
      <c r="B1118" s="1" t="s">
        <v>25</v>
      </c>
      <c r="C1118" s="1" t="s">
        <v>3501</v>
      </c>
      <c r="D1118" s="1" t="str">
        <f>Vlookup(C1118,'Oil &amp; Gas Documents - Canada'!F:M,2,FALSE)</f>
        <v>#N/A</v>
      </c>
      <c r="E1118" s="1" t="str">
        <f>Vlookup(C1118,'Oil &amp; Gas Documents - Canada'!F:N,9,FALSE)</f>
        <v>#N/A</v>
      </c>
      <c r="F1118" s="1" t="s">
        <v>2696</v>
      </c>
      <c r="G1118" s="4" t="str">
        <f>HYPERLINK("http://nimonikapp.com/legislations/431","http://nimonikapp.com/legislations/431")</f>
        <v>http://nimonikapp.com/legislations/431</v>
      </c>
      <c r="H1118" s="1" t="s">
        <v>18</v>
      </c>
      <c r="I1118" s="1" t="s">
        <v>3489</v>
      </c>
      <c r="J1118" s="1" t="s">
        <v>3490</v>
      </c>
      <c r="K1118" s="5">
        <v>44667.0</v>
      </c>
      <c r="M1118" s="5">
        <v>44671.0</v>
      </c>
      <c r="N1118" s="1" t="s">
        <v>1810</v>
      </c>
    </row>
    <row r="1119" hidden="1">
      <c r="A1119" s="1" t="s">
        <v>70</v>
      </c>
      <c r="B1119" s="1" t="s">
        <v>352</v>
      </c>
      <c r="C1119" s="1" t="s">
        <v>3502</v>
      </c>
      <c r="D1119" s="1" t="str">
        <f>Vlookup(C1119,'Oil &amp; Gas Documents - Canada'!F:M,2,FALSE)</f>
        <v>#N/A</v>
      </c>
      <c r="E1119" s="1" t="str">
        <f>Vlookup(C1119,'Oil &amp; Gas Documents - Canada'!F:N,9,FALSE)</f>
        <v>#N/A</v>
      </c>
      <c r="F1119" s="1" t="s">
        <v>3503</v>
      </c>
      <c r="G1119" s="4" t="str">
        <f>HYPERLINK("http://nimonikapp.com/legislations/193102","http://nimonikapp.com/legislations/193102")</f>
        <v>http://nimonikapp.com/legislations/193102</v>
      </c>
      <c r="H1119" s="1" t="s">
        <v>356</v>
      </c>
      <c r="I1119" s="1" t="s">
        <v>3504</v>
      </c>
      <c r="J1119" s="1" t="s">
        <v>3505</v>
      </c>
      <c r="K1119" s="5">
        <v>44681.0</v>
      </c>
      <c r="L1119" s="5">
        <v>44678.0</v>
      </c>
      <c r="M1119" s="5">
        <v>44671.0</v>
      </c>
      <c r="N1119" s="1" t="s">
        <v>3506</v>
      </c>
    </row>
    <row r="1120" hidden="1">
      <c r="A1120" s="1" t="s">
        <v>70</v>
      </c>
      <c r="B1120" s="1" t="s">
        <v>352</v>
      </c>
      <c r="C1120" s="1" t="s">
        <v>3507</v>
      </c>
      <c r="D1120" s="1" t="str">
        <f>Vlookup(C1120,'Oil &amp; Gas Documents - Canada'!F:M,2,FALSE)</f>
        <v>#N/A</v>
      </c>
      <c r="E1120" s="1" t="str">
        <f>Vlookup(C1120,'Oil &amp; Gas Documents - Canada'!F:N,9,FALSE)</f>
        <v>#N/A</v>
      </c>
      <c r="F1120" s="1" t="s">
        <v>3508</v>
      </c>
      <c r="G1120" s="4" t="str">
        <f>HYPERLINK("http://nimonikapp.com/legislations/193101","http://nimonikapp.com/legislations/193101")</f>
        <v>http://nimonikapp.com/legislations/193101</v>
      </c>
      <c r="H1120" s="1" t="s">
        <v>356</v>
      </c>
      <c r="I1120" s="1" t="s">
        <v>3504</v>
      </c>
      <c r="J1120" s="1" t="s">
        <v>3505</v>
      </c>
      <c r="K1120" s="5">
        <v>44681.0</v>
      </c>
      <c r="L1120" s="5">
        <v>44678.0</v>
      </c>
      <c r="M1120" s="5">
        <v>44671.0</v>
      </c>
      <c r="N1120" s="1" t="s">
        <v>3506</v>
      </c>
    </row>
    <row r="1121" hidden="1">
      <c r="A1121" s="1" t="s">
        <v>70</v>
      </c>
      <c r="B1121" s="1" t="s">
        <v>352</v>
      </c>
      <c r="C1121" s="1" t="s">
        <v>3509</v>
      </c>
      <c r="D1121" s="1" t="str">
        <f>Vlookup(C1121,'Oil &amp; Gas Documents - Canada'!F:M,2,FALSE)</f>
        <v>#N/A</v>
      </c>
      <c r="E1121" s="1" t="str">
        <f>Vlookup(C1121,'Oil &amp; Gas Documents - Canada'!F:N,9,FALSE)</f>
        <v>#N/A</v>
      </c>
      <c r="F1121" s="1" t="s">
        <v>3510</v>
      </c>
      <c r="G1121" s="4" t="str">
        <f>HYPERLINK("http://nimonikapp.com/legislations/155238","http://nimonikapp.com/legislations/155238")</f>
        <v>http://nimonikapp.com/legislations/155238</v>
      </c>
      <c r="H1121" s="1" t="s">
        <v>356</v>
      </c>
      <c r="I1121" s="1" t="s">
        <v>3504</v>
      </c>
      <c r="J1121" s="1" t="s">
        <v>3505</v>
      </c>
      <c r="K1121" s="5">
        <v>44681.0</v>
      </c>
      <c r="L1121" s="5">
        <v>44678.0</v>
      </c>
      <c r="M1121" s="5">
        <v>44671.0</v>
      </c>
      <c r="N1121" s="1" t="s">
        <v>3506</v>
      </c>
    </row>
    <row r="1122" hidden="1">
      <c r="A1122" s="1" t="s">
        <v>70</v>
      </c>
      <c r="B1122" s="1" t="s">
        <v>25</v>
      </c>
      <c r="C1122" s="1" t="s">
        <v>3511</v>
      </c>
      <c r="D1122" s="1" t="str">
        <f>Vlookup(C1122,'Oil &amp; Gas Documents - Canada'!F:M,2,FALSE)</f>
        <v>#N/A</v>
      </c>
      <c r="E1122" s="1" t="str">
        <f>Vlookup(C1122,'Oil &amp; Gas Documents - Canada'!F:N,9,FALSE)</f>
        <v>#N/A</v>
      </c>
      <c r="F1122" s="1" t="s">
        <v>3512</v>
      </c>
      <c r="G1122" s="4" t="str">
        <f>HYPERLINK("http://nimonikapp.com/legislations/213","http://nimonikapp.com/legislations/213")</f>
        <v>http://nimonikapp.com/legislations/213</v>
      </c>
      <c r="H1122" s="1" t="s">
        <v>18</v>
      </c>
      <c r="I1122" s="1" t="s">
        <v>3513</v>
      </c>
      <c r="J1122" s="1" t="s">
        <v>3514</v>
      </c>
      <c r="K1122" s="5">
        <v>44665.0</v>
      </c>
      <c r="L1122" s="5">
        <v>44665.0</v>
      </c>
      <c r="M1122" s="5">
        <v>44671.0</v>
      </c>
    </row>
    <row r="1123" hidden="1">
      <c r="A1123" s="1" t="s">
        <v>70</v>
      </c>
      <c r="B1123" s="1" t="s">
        <v>25</v>
      </c>
      <c r="C1123" s="1" t="s">
        <v>3112</v>
      </c>
      <c r="D1123" s="1" t="str">
        <f>Vlookup(C1123,'Oil &amp; Gas Documents - Canada'!F:M,2,FALSE)</f>
        <v>#N/A</v>
      </c>
      <c r="E1123" s="1" t="str">
        <f>Vlookup(C1123,'Oil &amp; Gas Documents - Canada'!F:N,9,FALSE)</f>
        <v>#N/A</v>
      </c>
      <c r="F1123" s="1" t="s">
        <v>1328</v>
      </c>
      <c r="G1123" s="4" t="str">
        <f>HYPERLINK("http://nimonikapp.com/legislations/416","http://nimonikapp.com/legislations/416")</f>
        <v>http://nimonikapp.com/legislations/416</v>
      </c>
      <c r="H1123" s="1" t="s">
        <v>18</v>
      </c>
      <c r="I1123" s="1" t="s">
        <v>3515</v>
      </c>
      <c r="J1123" s="1" t="s">
        <v>3516</v>
      </c>
      <c r="K1123" s="5">
        <v>44665.0</v>
      </c>
      <c r="L1123" s="5">
        <v>44665.0</v>
      </c>
      <c r="M1123" s="5">
        <v>44671.0</v>
      </c>
      <c r="N1123" s="1" t="s">
        <v>3115</v>
      </c>
    </row>
    <row r="1124" hidden="1">
      <c r="A1124" s="1" t="s">
        <v>70</v>
      </c>
      <c r="B1124" s="1" t="s">
        <v>25</v>
      </c>
      <c r="C1124" s="1" t="s">
        <v>3517</v>
      </c>
      <c r="D1124" s="1" t="str">
        <f>Vlookup(C1124,'Oil &amp; Gas Documents - Canada'!F:M,2,FALSE)</f>
        <v>#N/A</v>
      </c>
      <c r="E1124" s="1" t="str">
        <f>Vlookup(C1124,'Oil &amp; Gas Documents - Canada'!F:N,9,FALSE)</f>
        <v>#N/A</v>
      </c>
      <c r="F1124" s="1" t="s">
        <v>3299</v>
      </c>
      <c r="G1124" s="4" t="str">
        <f>HYPERLINK("http://nimonikapp.com/legislations/110754","http://nimonikapp.com/legislations/110754")</f>
        <v>http://nimonikapp.com/legislations/110754</v>
      </c>
      <c r="H1124" s="1" t="s">
        <v>18</v>
      </c>
      <c r="I1124" s="1" t="s">
        <v>3518</v>
      </c>
      <c r="J1124" s="1" t="s">
        <v>3519</v>
      </c>
      <c r="K1124" s="5">
        <v>44665.0</v>
      </c>
      <c r="L1124" s="5">
        <v>44665.0</v>
      </c>
      <c r="M1124" s="5">
        <v>44671.0</v>
      </c>
      <c r="N1124" s="1" t="s">
        <v>3520</v>
      </c>
    </row>
    <row r="1125" hidden="1">
      <c r="A1125" s="1" t="s">
        <v>70</v>
      </c>
      <c r="B1125" s="1" t="s">
        <v>25</v>
      </c>
      <c r="C1125" s="1" t="s">
        <v>3521</v>
      </c>
      <c r="D1125" s="1" t="str">
        <f>Vlookup(C1125,'Oil &amp; Gas Documents - Canada'!F:M,2,FALSE)</f>
        <v>#N/A</v>
      </c>
      <c r="E1125" s="1" t="str">
        <f>Vlookup(C1125,'Oil &amp; Gas Documents - Canada'!F:N,9,FALSE)</f>
        <v>#N/A</v>
      </c>
      <c r="F1125" s="1" t="s">
        <v>3522</v>
      </c>
      <c r="G1125" s="4" t="str">
        <f>HYPERLINK("http://nimonikapp.com/legislations/93599","http://nimonikapp.com/legislations/93599")</f>
        <v>http://nimonikapp.com/legislations/93599</v>
      </c>
      <c r="H1125" s="1" t="s">
        <v>18</v>
      </c>
      <c r="I1125" s="1" t="s">
        <v>3523</v>
      </c>
      <c r="J1125" s="1" t="s">
        <v>3524</v>
      </c>
      <c r="K1125" s="5">
        <v>44665.0</v>
      </c>
      <c r="L1125" s="5">
        <v>44665.0</v>
      </c>
      <c r="M1125" s="5">
        <v>44671.0</v>
      </c>
      <c r="N1125" s="1" t="s">
        <v>3525</v>
      </c>
    </row>
    <row r="1126" hidden="1">
      <c r="A1126" s="1" t="s">
        <v>1105</v>
      </c>
      <c r="B1126" s="1" t="s">
        <v>364</v>
      </c>
      <c r="C1126" s="1" t="s">
        <v>3526</v>
      </c>
      <c r="D1126" s="1" t="str">
        <f>Vlookup(C1126,'Oil &amp; Gas Documents - Canada'!F:M,2,FALSE)</f>
        <v>#N/A</v>
      </c>
      <c r="E1126" s="1" t="str">
        <f>Vlookup(C1126,'Oil &amp; Gas Documents - Canada'!F:N,9,FALSE)</f>
        <v>#N/A</v>
      </c>
      <c r="F1126" s="1" t="s">
        <v>3527</v>
      </c>
      <c r="G1126" s="4" t="str">
        <f>HYPERLINK("http://nimonikapp.com/legislations/315447","http://nimonikapp.com/legislations/315447")</f>
        <v>http://nimonikapp.com/legislations/315447</v>
      </c>
      <c r="H1126" s="1" t="s">
        <v>356</v>
      </c>
      <c r="I1126" s="1" t="s">
        <v>2070</v>
      </c>
      <c r="J1126" s="1" t="s">
        <v>2071</v>
      </c>
      <c r="K1126" s="5">
        <v>44656.0</v>
      </c>
      <c r="L1126" s="5">
        <v>44655.0</v>
      </c>
      <c r="M1126" s="5">
        <v>44671.0</v>
      </c>
      <c r="N1126" s="1" t="s">
        <v>3528</v>
      </c>
    </row>
    <row r="1127" hidden="1">
      <c r="A1127" s="1" t="s">
        <v>1105</v>
      </c>
      <c r="B1127" s="1" t="s">
        <v>15</v>
      </c>
      <c r="C1127" s="1" t="s">
        <v>3529</v>
      </c>
      <c r="D1127" s="1" t="str">
        <f>Vlookup(C1127,'Oil &amp; Gas Documents - Canada'!F:M,2,FALSE)</f>
        <v>#N/A</v>
      </c>
      <c r="E1127" s="1" t="str">
        <f>Vlookup(C1127,'Oil &amp; Gas Documents - Canada'!F:N,9,FALSE)</f>
        <v>#N/A</v>
      </c>
      <c r="F1127" s="1" t="s">
        <v>3530</v>
      </c>
      <c r="G1127" s="4" t="str">
        <f>HYPERLINK("http://nimonikapp.com/legislations/343739","http://nimonikapp.com/legislations/343739")</f>
        <v>http://nimonikapp.com/legislations/343739</v>
      </c>
      <c r="H1127" s="1" t="s">
        <v>18</v>
      </c>
      <c r="K1127" s="5">
        <v>44651.0</v>
      </c>
      <c r="L1127" s="5">
        <v>44650.0</v>
      </c>
      <c r="M1127" s="5">
        <v>44670.0</v>
      </c>
    </row>
    <row r="1128" hidden="1">
      <c r="A1128" s="1" t="s">
        <v>1105</v>
      </c>
      <c r="B1128" s="1" t="s">
        <v>15</v>
      </c>
      <c r="C1128" s="1" t="s">
        <v>3531</v>
      </c>
      <c r="D1128" s="1" t="str">
        <f>Vlookup(C1128,'Oil &amp; Gas Documents - Canada'!F:M,2,FALSE)</f>
        <v>#N/A</v>
      </c>
      <c r="E1128" s="1" t="str">
        <f>Vlookup(C1128,'Oil &amp; Gas Documents - Canada'!F:N,9,FALSE)</f>
        <v>#N/A</v>
      </c>
      <c r="F1128" s="1" t="s">
        <v>3532</v>
      </c>
      <c r="G1128" s="4" t="str">
        <f>HYPERLINK("http://nimonikapp.com/legislations/343738","http://nimonikapp.com/legislations/343738")</f>
        <v>http://nimonikapp.com/legislations/343738</v>
      </c>
      <c r="H1128" s="1" t="s">
        <v>18</v>
      </c>
      <c r="K1128" s="5">
        <v>44651.0</v>
      </c>
      <c r="L1128" s="5">
        <v>44650.0</v>
      </c>
      <c r="M1128" s="5">
        <v>44670.0</v>
      </c>
    </row>
    <row r="1129" hidden="1">
      <c r="A1129" s="1" t="s">
        <v>557</v>
      </c>
      <c r="B1129" s="1" t="s">
        <v>25</v>
      </c>
      <c r="C1129" s="1" t="s">
        <v>3533</v>
      </c>
      <c r="D1129" s="1" t="str">
        <f>Vlookup(C1129,'Oil &amp; Gas Documents - Canada'!F:M,2,FALSE)</f>
        <v>#N/A</v>
      </c>
      <c r="E1129" s="1" t="str">
        <f>Vlookup(C1129,'Oil &amp; Gas Documents - Canada'!F:N,9,FALSE)</f>
        <v>#N/A</v>
      </c>
      <c r="F1129" s="1" t="s">
        <v>2670</v>
      </c>
      <c r="G1129" s="4" t="str">
        <f>HYPERLINK("http://nimonikapp.com/legislations/280","http://nimonikapp.com/legislations/280")</f>
        <v>http://nimonikapp.com/legislations/280</v>
      </c>
      <c r="H1129" s="1" t="s">
        <v>18</v>
      </c>
      <c r="I1129" s="1" t="s">
        <v>560</v>
      </c>
      <c r="J1129" s="1" t="s">
        <v>561</v>
      </c>
      <c r="K1129" s="5">
        <v>44651.0</v>
      </c>
      <c r="L1129" s="5">
        <v>44651.0</v>
      </c>
      <c r="M1129" s="5">
        <v>44670.0</v>
      </c>
      <c r="N1129" s="1" t="s">
        <v>3534</v>
      </c>
    </row>
    <row r="1130" hidden="1">
      <c r="A1130" s="1" t="s">
        <v>557</v>
      </c>
      <c r="B1130" s="1" t="s">
        <v>25</v>
      </c>
      <c r="C1130" s="1" t="s">
        <v>3535</v>
      </c>
      <c r="D1130" s="1" t="str">
        <f>Vlookup(C1130,'Oil &amp; Gas Documents - Canada'!F:M,2,FALSE)</f>
        <v>#N/A</v>
      </c>
      <c r="E1130" s="1" t="str">
        <f>Vlookup(C1130,'Oil &amp; Gas Documents - Canada'!F:N,9,FALSE)</f>
        <v>#N/A</v>
      </c>
      <c r="F1130" s="1" t="s">
        <v>3536</v>
      </c>
      <c r="G1130" s="4" t="str">
        <f>HYPERLINK("http://nimonikapp.com/legislations/135881","http://nimonikapp.com/legislations/135881")</f>
        <v>http://nimonikapp.com/legislations/135881</v>
      </c>
      <c r="H1130" s="1" t="s">
        <v>18</v>
      </c>
      <c r="I1130" s="1" t="s">
        <v>560</v>
      </c>
      <c r="J1130" s="1" t="s">
        <v>561</v>
      </c>
      <c r="K1130" s="5">
        <v>44651.0</v>
      </c>
      <c r="L1130" s="5">
        <v>44651.0</v>
      </c>
      <c r="M1130" s="5">
        <v>44670.0</v>
      </c>
      <c r="N1130" s="1" t="s">
        <v>3537</v>
      </c>
    </row>
    <row r="1131" hidden="1">
      <c r="A1131" s="1" t="s">
        <v>557</v>
      </c>
      <c r="B1131" s="1" t="s">
        <v>25</v>
      </c>
      <c r="C1131" s="1" t="s">
        <v>3538</v>
      </c>
      <c r="D1131" s="1" t="str">
        <f>Vlookup(C1131,'Oil &amp; Gas Documents - Canada'!F:M,2,FALSE)</f>
        <v>#N/A</v>
      </c>
      <c r="E1131" s="1" t="str">
        <f>Vlookup(C1131,'Oil &amp; Gas Documents - Canada'!F:N,9,FALSE)</f>
        <v>#N/A</v>
      </c>
      <c r="F1131" s="1" t="s">
        <v>3539</v>
      </c>
      <c r="G1131" s="4" t="str">
        <f>HYPERLINK("http://nimonikapp.com/legislations/95346","http://nimonikapp.com/legislations/95346")</f>
        <v>http://nimonikapp.com/legislations/95346</v>
      </c>
      <c r="H1131" s="1" t="s">
        <v>18</v>
      </c>
      <c r="I1131" s="1" t="s">
        <v>560</v>
      </c>
      <c r="J1131" s="1" t="s">
        <v>561</v>
      </c>
      <c r="K1131" s="5">
        <v>44651.0</v>
      </c>
      <c r="L1131" s="5">
        <v>44651.0</v>
      </c>
      <c r="M1131" s="5">
        <v>44670.0</v>
      </c>
    </row>
    <row r="1132" hidden="1">
      <c r="A1132" s="1" t="s">
        <v>557</v>
      </c>
      <c r="B1132" s="1" t="s">
        <v>25</v>
      </c>
      <c r="C1132" s="1" t="s">
        <v>2720</v>
      </c>
      <c r="D1132" s="1" t="str">
        <f>Vlookup(C1132,'Oil &amp; Gas Documents - Canada'!F:M,2,FALSE)</f>
        <v>#N/A</v>
      </c>
      <c r="E1132" s="1" t="str">
        <f>Vlookup(C1132,'Oil &amp; Gas Documents - Canada'!F:N,9,FALSE)</f>
        <v>#N/A</v>
      </c>
      <c r="F1132" s="1" t="s">
        <v>2721</v>
      </c>
      <c r="G1132" s="4" t="str">
        <f>HYPERLINK("http://nimonikapp.com/legislations/277","http://nimonikapp.com/legislations/277")</f>
        <v>http://nimonikapp.com/legislations/277</v>
      </c>
      <c r="H1132" s="1" t="s">
        <v>18</v>
      </c>
      <c r="I1132" s="1" t="s">
        <v>560</v>
      </c>
      <c r="J1132" s="1" t="s">
        <v>561</v>
      </c>
      <c r="K1132" s="5">
        <v>44651.0</v>
      </c>
      <c r="L1132" s="5">
        <v>44651.0</v>
      </c>
      <c r="M1132" s="5">
        <v>44670.0</v>
      </c>
      <c r="N1132" s="1" t="s">
        <v>2724</v>
      </c>
    </row>
    <row r="1133">
      <c r="A1133" s="1" t="s">
        <v>557</v>
      </c>
      <c r="B1133" s="1" t="s">
        <v>25</v>
      </c>
      <c r="C1133" s="1" t="s">
        <v>559</v>
      </c>
      <c r="D1133" s="1" t="s">
        <v>26</v>
      </c>
      <c r="E1133" s="1" t="str">
        <f>Vlookup(C1133,'Oil &amp; Gas Documents - Canada'!F:N,9,FALSE)</f>
        <v>#N/A</v>
      </c>
      <c r="F1133" s="1" t="s">
        <v>558</v>
      </c>
      <c r="G1133" s="4" t="str">
        <f>HYPERLINK("http://nimonikapp.com/legislations/487","http://nimonikapp.com/legislations/487")</f>
        <v>http://nimonikapp.com/legislations/487</v>
      </c>
      <c r="H1133" s="1" t="s">
        <v>18</v>
      </c>
      <c r="I1133" s="1" t="s">
        <v>560</v>
      </c>
      <c r="J1133" s="1" t="s">
        <v>561</v>
      </c>
      <c r="K1133" s="5">
        <v>44651.0</v>
      </c>
      <c r="L1133" s="5">
        <v>44651.0</v>
      </c>
      <c r="M1133" s="5">
        <v>44670.0</v>
      </c>
    </row>
    <row r="1134" hidden="1">
      <c r="A1134" s="1" t="s">
        <v>557</v>
      </c>
      <c r="B1134" s="1" t="s">
        <v>25</v>
      </c>
      <c r="C1134" s="1" t="s">
        <v>3540</v>
      </c>
      <c r="D1134" s="1" t="str">
        <f>Vlookup(C1134,'Oil &amp; Gas Documents - Canada'!F:M,2,FALSE)</f>
        <v>#N/A</v>
      </c>
      <c r="E1134" s="1" t="str">
        <f>Vlookup(C1134,'Oil &amp; Gas Documents - Canada'!F:N,9,FALSE)</f>
        <v>#N/A</v>
      </c>
      <c r="F1134" s="1" t="s">
        <v>3541</v>
      </c>
      <c r="G1134" s="4" t="str">
        <f t="shared" ref="G1134:G1135" si="25">HYPERLINK("http://nimonikapp.com/legislations/118484","http://nimonikapp.com/legislations/118484")</f>
        <v>http://nimonikapp.com/legislations/118484</v>
      </c>
      <c r="H1134" s="1" t="s">
        <v>18</v>
      </c>
      <c r="I1134" s="1" t="s">
        <v>560</v>
      </c>
      <c r="J1134" s="1" t="s">
        <v>561</v>
      </c>
      <c r="K1134" s="5">
        <v>44651.0</v>
      </c>
      <c r="L1134" s="5">
        <v>44651.0</v>
      </c>
      <c r="M1134" s="5">
        <v>44670.0</v>
      </c>
      <c r="N1134" s="1" t="s">
        <v>3542</v>
      </c>
    </row>
    <row r="1135" hidden="1">
      <c r="A1135" s="1" t="s">
        <v>557</v>
      </c>
      <c r="B1135" s="1" t="s">
        <v>25</v>
      </c>
      <c r="C1135" s="1" t="s">
        <v>3540</v>
      </c>
      <c r="D1135" s="1" t="str">
        <f>Vlookup(C1135,'Oil &amp; Gas Documents - Canada'!F:M,2,FALSE)</f>
        <v>#N/A</v>
      </c>
      <c r="E1135" s="1" t="str">
        <f>Vlookup(C1135,'Oil &amp; Gas Documents - Canada'!F:N,9,FALSE)</f>
        <v>#N/A</v>
      </c>
      <c r="F1135" s="1" t="s">
        <v>3541</v>
      </c>
      <c r="G1135" s="4" t="str">
        <f t="shared" si="25"/>
        <v>http://nimonikapp.com/legislations/118484</v>
      </c>
      <c r="H1135" s="1" t="s">
        <v>18</v>
      </c>
      <c r="I1135" s="1" t="s">
        <v>3543</v>
      </c>
      <c r="J1135" s="1" t="s">
        <v>3544</v>
      </c>
      <c r="K1135" s="5">
        <v>44651.0</v>
      </c>
      <c r="L1135" s="5">
        <v>44651.0</v>
      </c>
      <c r="M1135" s="5">
        <v>44670.0</v>
      </c>
      <c r="N1135" s="1" t="s">
        <v>3542</v>
      </c>
    </row>
    <row r="1136" hidden="1">
      <c r="A1136" s="1" t="s">
        <v>557</v>
      </c>
      <c r="B1136" s="1" t="s">
        <v>25</v>
      </c>
      <c r="C1136" s="1" t="s">
        <v>2716</v>
      </c>
      <c r="D1136" s="1" t="str">
        <f>Vlookup(C1136,'Oil &amp; Gas Documents - Canada'!F:M,2,FALSE)</f>
        <v>#N/A</v>
      </c>
      <c r="E1136" s="1" t="str">
        <f>Vlookup(C1136,'Oil &amp; Gas Documents - Canada'!F:N,9,FALSE)</f>
        <v>#N/A</v>
      </c>
      <c r="F1136" s="1" t="s">
        <v>1533</v>
      </c>
      <c r="G1136" s="4" t="str">
        <f>HYPERLINK("http://nimonikapp.com/legislations/275","http://nimonikapp.com/legislations/275")</f>
        <v>http://nimonikapp.com/legislations/275</v>
      </c>
      <c r="H1136" s="1" t="s">
        <v>18</v>
      </c>
      <c r="I1136" s="1" t="s">
        <v>3545</v>
      </c>
      <c r="J1136" s="1" t="s">
        <v>3546</v>
      </c>
      <c r="K1136" s="5">
        <v>44539.0</v>
      </c>
      <c r="L1136" s="5">
        <v>44539.0</v>
      </c>
      <c r="M1136" s="5">
        <v>44670.0</v>
      </c>
      <c r="N1136" s="1" t="s">
        <v>2719</v>
      </c>
    </row>
    <row r="1137">
      <c r="A1137" s="1" t="s">
        <v>21</v>
      </c>
      <c r="B1137" s="1" t="s">
        <v>25</v>
      </c>
      <c r="C1137" s="1" t="s">
        <v>117</v>
      </c>
      <c r="D1137" s="1" t="str">
        <f>Vlookup(C1137,'Oil &amp; Gas Documents - Canada'!F:M,2,FALSE)</f>
        <v>oil_and_gas</v>
      </c>
      <c r="E1137" s="1" t="str">
        <f>Vlookup(C1137,'Oil &amp; Gas Documents - Canada'!F:N,9,FALSE)</f>
        <v/>
      </c>
      <c r="F1137" s="1" t="s">
        <v>116</v>
      </c>
      <c r="G1137" s="4" t="str">
        <f>HYPERLINK("http://nimonikapp.com/legislations/3688","http://nimonikapp.com/legislations/3688")</f>
        <v>http://nimonikapp.com/legislations/3688</v>
      </c>
      <c r="H1137" s="1" t="s">
        <v>18</v>
      </c>
      <c r="I1137" s="1" t="s">
        <v>562</v>
      </c>
      <c r="J1137" s="1" t="s">
        <v>380</v>
      </c>
      <c r="K1137" s="5">
        <v>44665.0</v>
      </c>
      <c r="L1137" s="5">
        <v>44638.0</v>
      </c>
      <c r="M1137" s="5">
        <v>44666.0</v>
      </c>
      <c r="N1137" s="1" t="s">
        <v>118</v>
      </c>
    </row>
    <row r="1138">
      <c r="A1138" s="1" t="s">
        <v>21</v>
      </c>
      <c r="B1138" s="1" t="s">
        <v>25</v>
      </c>
      <c r="C1138" s="1" t="s">
        <v>564</v>
      </c>
      <c r="D1138" s="1" t="str">
        <f>Vlookup(C1138,'Oil &amp; Gas Documents - Canada'!F:M,2,FALSE)</f>
        <v>oil_and_gas</v>
      </c>
      <c r="E1138" s="1" t="str">
        <f>Vlookup(C1138,'Oil &amp; Gas Documents - Canada'!F:N,9,FALSE)</f>
        <v/>
      </c>
      <c r="F1138" s="1" t="s">
        <v>563</v>
      </c>
      <c r="G1138" s="4" t="str">
        <f>HYPERLINK("http://nimonikapp.com/legislations/4051","http://nimonikapp.com/legislations/4051")</f>
        <v>http://nimonikapp.com/legislations/4051</v>
      </c>
      <c r="H1138" s="1" t="s">
        <v>18</v>
      </c>
      <c r="I1138" s="1" t="s">
        <v>566</v>
      </c>
      <c r="J1138" s="1" t="s">
        <v>567</v>
      </c>
      <c r="K1138" s="5">
        <v>44657.0</v>
      </c>
      <c r="L1138" s="5">
        <v>44657.0</v>
      </c>
      <c r="M1138" s="5">
        <v>44666.0</v>
      </c>
      <c r="N1138" s="1" t="s">
        <v>565</v>
      </c>
    </row>
    <row r="1139" hidden="1">
      <c r="A1139" s="1" t="s">
        <v>73</v>
      </c>
      <c r="B1139" s="1" t="s">
        <v>364</v>
      </c>
      <c r="C1139" s="1" t="s">
        <v>3547</v>
      </c>
      <c r="D1139" s="1" t="str">
        <f>Vlookup(C1139,'Oil &amp; Gas Documents - Canada'!F:M,2,FALSE)</f>
        <v>#N/A</v>
      </c>
      <c r="E1139" s="1" t="str">
        <f>Vlookup(C1139,'Oil &amp; Gas Documents - Canada'!F:N,9,FALSE)</f>
        <v>#N/A</v>
      </c>
      <c r="F1139" s="1" t="s">
        <v>2869</v>
      </c>
      <c r="G1139" s="4" t="str">
        <f>HYPERLINK("http://nimonikapp.com/legislations/338408","http://nimonikapp.com/legislations/338408")</f>
        <v>http://nimonikapp.com/legislations/338408</v>
      </c>
      <c r="H1139" s="1" t="s">
        <v>356</v>
      </c>
      <c r="I1139" s="1" t="s">
        <v>2868</v>
      </c>
      <c r="J1139" s="1" t="s">
        <v>2869</v>
      </c>
      <c r="K1139" s="5">
        <v>44667.0</v>
      </c>
      <c r="L1139" s="5">
        <v>44651.0</v>
      </c>
      <c r="M1139" s="5">
        <v>44666.0</v>
      </c>
      <c r="N1139" s="1" t="s">
        <v>3548</v>
      </c>
    </row>
    <row r="1140" hidden="1">
      <c r="A1140" s="1" t="s">
        <v>73</v>
      </c>
      <c r="B1140" s="1" t="s">
        <v>364</v>
      </c>
      <c r="C1140" s="1" t="s">
        <v>3549</v>
      </c>
      <c r="D1140" s="1" t="str">
        <f>Vlookup(C1140,'Oil &amp; Gas Documents - Canada'!F:M,2,FALSE)</f>
        <v>#N/A</v>
      </c>
      <c r="E1140" s="1" t="str">
        <f>Vlookup(C1140,'Oil &amp; Gas Documents - Canada'!F:N,9,FALSE)</f>
        <v>#N/A</v>
      </c>
      <c r="F1140" s="1" t="s">
        <v>2864</v>
      </c>
      <c r="G1140" s="4" t="str">
        <f>HYPERLINK("http://nimonikapp.com/legislations/338411","http://nimonikapp.com/legislations/338411")</f>
        <v>http://nimonikapp.com/legislations/338411</v>
      </c>
      <c r="H1140" s="1" t="s">
        <v>356</v>
      </c>
      <c r="I1140" s="1" t="s">
        <v>2863</v>
      </c>
      <c r="J1140" s="1" t="s">
        <v>2864</v>
      </c>
      <c r="K1140" s="5">
        <v>44667.0</v>
      </c>
      <c r="L1140" s="5">
        <v>44651.0</v>
      </c>
      <c r="M1140" s="5">
        <v>44666.0</v>
      </c>
      <c r="N1140" s="1" t="s">
        <v>3550</v>
      </c>
    </row>
    <row r="1141" hidden="1">
      <c r="A1141" s="1" t="s">
        <v>70</v>
      </c>
      <c r="B1141" s="1" t="s">
        <v>15</v>
      </c>
      <c r="C1141" s="1" t="s">
        <v>3551</v>
      </c>
      <c r="D1141" s="1" t="str">
        <f>Vlookup(C1141,'Oil &amp; Gas Documents - Canada'!F:M,2,FALSE)</f>
        <v>#N/A</v>
      </c>
      <c r="E1141" s="1" t="str">
        <f>Vlookup(C1141,'Oil &amp; Gas Documents - Canada'!F:N,9,FALSE)</f>
        <v>#N/A</v>
      </c>
      <c r="F1141" s="1" t="s">
        <v>3552</v>
      </c>
      <c r="G1141" s="4" t="str">
        <f>HYPERLINK("http://nimonikapp.com/legislations/343007","http://nimonikapp.com/legislations/343007")</f>
        <v>http://nimonikapp.com/legislations/343007</v>
      </c>
      <c r="H1141" s="1" t="s">
        <v>52</v>
      </c>
      <c r="K1141" s="5">
        <v>44674.0</v>
      </c>
      <c r="L1141" s="5">
        <v>44927.0</v>
      </c>
      <c r="M1141" s="5">
        <v>44665.0</v>
      </c>
    </row>
    <row r="1142" hidden="1">
      <c r="A1142" s="1" t="s">
        <v>70</v>
      </c>
      <c r="B1142" s="1" t="s">
        <v>15</v>
      </c>
      <c r="C1142" s="1" t="s">
        <v>3553</v>
      </c>
      <c r="D1142" s="1" t="str">
        <f>Vlookup(C1142,'Oil &amp; Gas Documents - Canada'!F:M,2,FALSE)</f>
        <v>#N/A</v>
      </c>
      <c r="E1142" s="1" t="str">
        <f>Vlookup(C1142,'Oil &amp; Gas Documents - Canada'!F:N,9,FALSE)</f>
        <v>#N/A</v>
      </c>
      <c r="F1142" s="1" t="s">
        <v>3554</v>
      </c>
      <c r="G1142" s="4" t="str">
        <f>HYPERLINK("http://nimonikapp.com/legislations/342968","http://nimonikapp.com/legislations/342968")</f>
        <v>http://nimonikapp.com/legislations/342968</v>
      </c>
      <c r="H1142" s="1" t="s">
        <v>52</v>
      </c>
      <c r="K1142" s="5">
        <v>44662.0</v>
      </c>
      <c r="M1142" s="5">
        <v>44665.0</v>
      </c>
    </row>
    <row r="1143" hidden="1">
      <c r="A1143" s="1" t="s">
        <v>70</v>
      </c>
      <c r="B1143" s="1" t="s">
        <v>25</v>
      </c>
      <c r="C1143" s="1" t="s">
        <v>3555</v>
      </c>
      <c r="D1143" s="1" t="str">
        <f>Vlookup(C1143,'Oil &amp; Gas Documents - Canada'!F:M,2,FALSE)</f>
        <v>#N/A</v>
      </c>
      <c r="E1143" s="1" t="str">
        <f>Vlookup(C1143,'Oil &amp; Gas Documents - Canada'!F:N,9,FALSE)</f>
        <v>#N/A</v>
      </c>
      <c r="F1143" s="1" t="s">
        <v>1533</v>
      </c>
      <c r="G1143" s="4" t="str">
        <f>HYPERLINK("http://nimonikapp.com/legislations/105","http://nimonikapp.com/legislations/105")</f>
        <v>http://nimonikapp.com/legislations/105</v>
      </c>
      <c r="H1143" s="1" t="s">
        <v>18</v>
      </c>
      <c r="I1143" s="1" t="s">
        <v>3556</v>
      </c>
      <c r="J1143" s="1" t="s">
        <v>3557</v>
      </c>
      <c r="K1143" s="5">
        <v>44662.0</v>
      </c>
      <c r="L1143" s="5">
        <v>44662.0</v>
      </c>
      <c r="M1143" s="5">
        <v>44665.0</v>
      </c>
      <c r="N1143" s="1" t="s">
        <v>3558</v>
      </c>
    </row>
    <row r="1144" hidden="1">
      <c r="A1144" s="1" t="s">
        <v>70</v>
      </c>
      <c r="B1144" s="1" t="s">
        <v>25</v>
      </c>
      <c r="C1144" s="1" t="s">
        <v>3286</v>
      </c>
      <c r="D1144" s="1" t="str">
        <f>Vlookup(C1144,'Oil &amp; Gas Documents - Canada'!F:M,2,FALSE)</f>
        <v>#N/A</v>
      </c>
      <c r="E1144" s="1" t="str">
        <f>Vlookup(C1144,'Oil &amp; Gas Documents - Canada'!F:N,9,FALSE)</f>
        <v>#N/A</v>
      </c>
      <c r="F1144" s="1" t="s">
        <v>1354</v>
      </c>
      <c r="G1144" s="4" t="str">
        <f>HYPERLINK("http://nimonikapp.com/legislations/108","http://nimonikapp.com/legislations/108")</f>
        <v>http://nimonikapp.com/legislations/108</v>
      </c>
      <c r="H1144" s="1" t="s">
        <v>18</v>
      </c>
      <c r="I1144" s="1" t="s">
        <v>3556</v>
      </c>
      <c r="J1144" s="1" t="s">
        <v>3557</v>
      </c>
      <c r="K1144" s="5">
        <v>44662.0</v>
      </c>
      <c r="L1144" s="5">
        <v>44662.0</v>
      </c>
      <c r="M1144" s="5">
        <v>44665.0</v>
      </c>
      <c r="N1144" s="1" t="s">
        <v>3289</v>
      </c>
    </row>
    <row r="1145" hidden="1">
      <c r="A1145" s="1" t="s">
        <v>70</v>
      </c>
      <c r="B1145" s="1" t="s">
        <v>25</v>
      </c>
      <c r="C1145" s="1" t="s">
        <v>3559</v>
      </c>
      <c r="D1145" s="1" t="str">
        <f>Vlookup(C1145,'Oil &amp; Gas Documents - Canada'!F:M,2,FALSE)</f>
        <v>#N/A</v>
      </c>
      <c r="E1145" s="1" t="str">
        <f>Vlookup(C1145,'Oil &amp; Gas Documents - Canada'!F:N,9,FALSE)</f>
        <v>#N/A</v>
      </c>
      <c r="F1145" s="1" t="s">
        <v>3560</v>
      </c>
      <c r="G1145" s="4" t="str">
        <f>HYPERLINK("http://nimonikapp.com/legislations/1289","http://nimonikapp.com/legislations/1289")</f>
        <v>http://nimonikapp.com/legislations/1289</v>
      </c>
      <c r="H1145" s="1" t="s">
        <v>18</v>
      </c>
      <c r="I1145" s="1" t="s">
        <v>3561</v>
      </c>
      <c r="J1145" s="1" t="s">
        <v>3562</v>
      </c>
      <c r="K1145" s="5">
        <v>44674.0</v>
      </c>
      <c r="L1145" s="5">
        <v>44662.0</v>
      </c>
      <c r="M1145" s="5">
        <v>44665.0</v>
      </c>
      <c r="N1145" s="1" t="s">
        <v>3563</v>
      </c>
    </row>
    <row r="1146" hidden="1">
      <c r="A1146" s="1" t="s">
        <v>70</v>
      </c>
      <c r="B1146" s="1" t="s">
        <v>25</v>
      </c>
      <c r="C1146" s="1" t="s">
        <v>3361</v>
      </c>
      <c r="D1146" s="1" t="str">
        <f>Vlookup(C1146,'Oil &amp; Gas Documents - Canada'!F:M,2,FALSE)</f>
        <v>#N/A</v>
      </c>
      <c r="E1146" s="1" t="str">
        <f>Vlookup(C1146,'Oil &amp; Gas Documents - Canada'!F:N,9,FALSE)</f>
        <v>#N/A</v>
      </c>
      <c r="F1146" s="1" t="s">
        <v>3362</v>
      </c>
      <c r="G1146" s="4" t="str">
        <f>HYPERLINK("http://nimonikapp.com/legislations/1287","http://nimonikapp.com/legislations/1287")</f>
        <v>http://nimonikapp.com/legislations/1287</v>
      </c>
      <c r="H1146" s="1" t="s">
        <v>18</v>
      </c>
      <c r="I1146" s="1" t="s">
        <v>3564</v>
      </c>
      <c r="J1146" s="1" t="s">
        <v>3364</v>
      </c>
      <c r="K1146" s="5">
        <v>44674.0</v>
      </c>
      <c r="L1146" s="5">
        <v>44662.0</v>
      </c>
      <c r="M1146" s="5">
        <v>44665.0</v>
      </c>
      <c r="N1146" s="1" t="s">
        <v>3365</v>
      </c>
    </row>
    <row r="1147" hidden="1">
      <c r="A1147" s="1" t="s">
        <v>70</v>
      </c>
      <c r="B1147" s="1" t="s">
        <v>25</v>
      </c>
      <c r="C1147" s="1" t="s">
        <v>3565</v>
      </c>
      <c r="D1147" s="1" t="str">
        <f>Vlookup(C1147,'Oil &amp; Gas Documents - Canada'!F:M,2,FALSE)</f>
        <v>#N/A</v>
      </c>
      <c r="E1147" s="1" t="str">
        <f>Vlookup(C1147,'Oil &amp; Gas Documents - Canada'!F:N,9,FALSE)</f>
        <v>#N/A</v>
      </c>
      <c r="F1147" s="1" t="s">
        <v>3566</v>
      </c>
      <c r="G1147" s="4" t="str">
        <f>HYPERLINK("http://nimonikapp.com/legislations/1263","http://nimonikapp.com/legislations/1263")</f>
        <v>http://nimonikapp.com/legislations/1263</v>
      </c>
      <c r="H1147" s="1" t="s">
        <v>18</v>
      </c>
      <c r="I1147" s="1" t="s">
        <v>3567</v>
      </c>
      <c r="J1147" s="1" t="s">
        <v>3568</v>
      </c>
      <c r="K1147" s="5">
        <v>44674.0</v>
      </c>
      <c r="L1147" s="5">
        <v>44743.0</v>
      </c>
      <c r="M1147" s="5">
        <v>44665.0</v>
      </c>
      <c r="N1147" s="1" t="s">
        <v>3569</v>
      </c>
    </row>
    <row r="1148" hidden="1">
      <c r="A1148" s="1" t="s">
        <v>70</v>
      </c>
      <c r="B1148" s="1" t="s">
        <v>25</v>
      </c>
      <c r="C1148" s="1" t="s">
        <v>3343</v>
      </c>
      <c r="D1148" s="1" t="str">
        <f>Vlookup(C1148,'Oil &amp; Gas Documents - Canada'!F:M,2,FALSE)</f>
        <v>#N/A</v>
      </c>
      <c r="E1148" s="1" t="str">
        <f>Vlookup(C1148,'Oil &amp; Gas Documents - Canada'!F:N,9,FALSE)</f>
        <v>#N/A</v>
      </c>
      <c r="F1148" s="1" t="s">
        <v>3344</v>
      </c>
      <c r="G1148" s="4" t="str">
        <f>HYPERLINK("http://nimonikapp.com/legislations/113714","http://nimonikapp.com/legislations/113714")</f>
        <v>http://nimonikapp.com/legislations/113714</v>
      </c>
      <c r="H1148" s="1" t="s">
        <v>18</v>
      </c>
      <c r="I1148" s="1" t="s">
        <v>3570</v>
      </c>
      <c r="J1148" s="1" t="s">
        <v>3346</v>
      </c>
      <c r="K1148" s="5">
        <v>44674.0</v>
      </c>
      <c r="L1148" s="5">
        <v>44662.0</v>
      </c>
      <c r="M1148" s="5">
        <v>44665.0</v>
      </c>
    </row>
    <row r="1149" hidden="1">
      <c r="A1149" s="1" t="s">
        <v>70</v>
      </c>
      <c r="B1149" s="1" t="s">
        <v>25</v>
      </c>
      <c r="C1149" s="1" t="s">
        <v>3571</v>
      </c>
      <c r="D1149" s="1" t="str">
        <f>Vlookup(C1149,'Oil &amp; Gas Documents - Canada'!F:M,2,FALSE)</f>
        <v>#N/A</v>
      </c>
      <c r="E1149" s="1" t="str">
        <f>Vlookup(C1149,'Oil &amp; Gas Documents - Canada'!F:N,9,FALSE)</f>
        <v>#N/A</v>
      </c>
      <c r="F1149" s="1" t="s">
        <v>3572</v>
      </c>
      <c r="G1149" s="4" t="str">
        <f>HYPERLINK("http://nimonikapp.com/legislations/96266","http://nimonikapp.com/legislations/96266")</f>
        <v>http://nimonikapp.com/legislations/96266</v>
      </c>
      <c r="H1149" s="1" t="s">
        <v>18</v>
      </c>
      <c r="I1149" s="1" t="s">
        <v>3573</v>
      </c>
      <c r="J1149" s="1" t="s">
        <v>3574</v>
      </c>
      <c r="K1149" s="5">
        <v>44674.0</v>
      </c>
      <c r="L1149" s="5">
        <v>44662.0</v>
      </c>
      <c r="M1149" s="5">
        <v>44665.0</v>
      </c>
      <c r="N1149" s="1" t="s">
        <v>3575</v>
      </c>
    </row>
    <row r="1150" hidden="1">
      <c r="A1150" s="1" t="s">
        <v>70</v>
      </c>
      <c r="B1150" s="1" t="s">
        <v>25</v>
      </c>
      <c r="C1150" s="1" t="s">
        <v>3576</v>
      </c>
      <c r="D1150" s="1" t="str">
        <f>Vlookup(C1150,'Oil &amp; Gas Documents - Canada'!F:M,2,FALSE)</f>
        <v>#N/A</v>
      </c>
      <c r="E1150" s="1" t="str">
        <f>Vlookup(C1150,'Oil &amp; Gas Documents - Canada'!F:N,9,FALSE)</f>
        <v>#N/A</v>
      </c>
      <c r="F1150" s="1" t="s">
        <v>3577</v>
      </c>
      <c r="G1150" s="4" t="str">
        <f>HYPERLINK("http://nimonikapp.com/legislations/1309","http://nimonikapp.com/legislations/1309")</f>
        <v>http://nimonikapp.com/legislations/1309</v>
      </c>
      <c r="H1150" s="1" t="s">
        <v>18</v>
      </c>
      <c r="I1150" s="1" t="s">
        <v>3578</v>
      </c>
      <c r="J1150" s="1" t="s">
        <v>3579</v>
      </c>
      <c r="K1150" s="5">
        <v>44674.0</v>
      </c>
      <c r="L1150" s="5">
        <v>44712.0</v>
      </c>
      <c r="M1150" s="5">
        <v>44665.0</v>
      </c>
      <c r="N1150" s="1" t="s">
        <v>3580</v>
      </c>
    </row>
    <row r="1151" hidden="1">
      <c r="A1151" s="1" t="s">
        <v>70</v>
      </c>
      <c r="B1151" s="1" t="s">
        <v>25</v>
      </c>
      <c r="C1151" s="1" t="s">
        <v>3581</v>
      </c>
      <c r="D1151" s="1" t="str">
        <f>Vlookup(C1151,'Oil &amp; Gas Documents - Canada'!F:M,2,FALSE)</f>
        <v>#N/A</v>
      </c>
      <c r="E1151" s="1" t="str">
        <f>Vlookup(C1151,'Oil &amp; Gas Documents - Canada'!F:N,9,FALSE)</f>
        <v>#N/A</v>
      </c>
      <c r="F1151" s="1" t="s">
        <v>3582</v>
      </c>
      <c r="G1151" s="4" t="str">
        <f>HYPERLINK("http://nimonikapp.com/legislations/1011","http://nimonikapp.com/legislations/1011")</f>
        <v>http://nimonikapp.com/legislations/1011</v>
      </c>
      <c r="H1151" s="1" t="s">
        <v>18</v>
      </c>
      <c r="I1151" s="1" t="s">
        <v>3583</v>
      </c>
      <c r="J1151" s="1" t="s">
        <v>3584</v>
      </c>
      <c r="K1151" s="5">
        <v>44674.0</v>
      </c>
      <c r="L1151" s="5">
        <v>44927.0</v>
      </c>
      <c r="M1151" s="5">
        <v>44665.0</v>
      </c>
    </row>
    <row r="1152" hidden="1">
      <c r="A1152" s="1" t="s">
        <v>70</v>
      </c>
      <c r="B1152" s="1" t="s">
        <v>25</v>
      </c>
      <c r="C1152" s="1" t="s">
        <v>3585</v>
      </c>
      <c r="D1152" s="1" t="str">
        <f>Vlookup(C1152,'Oil &amp; Gas Documents - Canada'!F:M,2,FALSE)</f>
        <v>#N/A</v>
      </c>
      <c r="E1152" s="1" t="str">
        <f>Vlookup(C1152,'Oil &amp; Gas Documents - Canada'!F:N,9,FALSE)</f>
        <v>#N/A</v>
      </c>
      <c r="F1152" s="1" t="s">
        <v>3586</v>
      </c>
      <c r="G1152" s="4" t="str">
        <f>HYPERLINK("http://nimonikapp.com/legislations/1005","http://nimonikapp.com/legislations/1005")</f>
        <v>http://nimonikapp.com/legislations/1005</v>
      </c>
      <c r="H1152" s="1" t="s">
        <v>18</v>
      </c>
      <c r="I1152" s="1" t="s">
        <v>3587</v>
      </c>
      <c r="J1152" s="1" t="s">
        <v>3588</v>
      </c>
      <c r="K1152" s="5">
        <v>44674.0</v>
      </c>
      <c r="L1152" s="5">
        <v>44662.0</v>
      </c>
      <c r="M1152" s="5">
        <v>44665.0</v>
      </c>
      <c r="N1152" s="1" t="s">
        <v>3589</v>
      </c>
    </row>
    <row r="1153" hidden="1">
      <c r="A1153" s="1" t="s">
        <v>70</v>
      </c>
      <c r="B1153" s="1" t="s">
        <v>25</v>
      </c>
      <c r="C1153" s="1" t="s">
        <v>3590</v>
      </c>
      <c r="D1153" s="1" t="str">
        <f>Vlookup(C1153,'Oil &amp; Gas Documents - Canada'!F:M,2,FALSE)</f>
        <v>#N/A</v>
      </c>
      <c r="E1153" s="1" t="str">
        <f>Vlookup(C1153,'Oil &amp; Gas Documents - Canada'!F:N,9,FALSE)</f>
        <v>#N/A</v>
      </c>
      <c r="F1153" s="1" t="s">
        <v>3591</v>
      </c>
      <c r="G1153" s="4" t="str">
        <f>HYPERLINK("http://nimonikapp.com/legislations/1175","http://nimonikapp.com/legislations/1175")</f>
        <v>http://nimonikapp.com/legislations/1175</v>
      </c>
      <c r="H1153" s="1" t="s">
        <v>18</v>
      </c>
      <c r="I1153" s="1" t="s">
        <v>3592</v>
      </c>
      <c r="J1153" s="1" t="s">
        <v>3593</v>
      </c>
      <c r="K1153" s="5">
        <v>44674.0</v>
      </c>
      <c r="L1153" s="5">
        <v>44662.0</v>
      </c>
      <c r="M1153" s="5">
        <v>44665.0</v>
      </c>
      <c r="N1153" s="1" t="s">
        <v>3594</v>
      </c>
    </row>
    <row r="1154" hidden="1">
      <c r="A1154" s="1" t="s">
        <v>70</v>
      </c>
      <c r="B1154" s="1" t="s">
        <v>25</v>
      </c>
      <c r="C1154" s="1" t="s">
        <v>3595</v>
      </c>
      <c r="D1154" s="1" t="str">
        <f>Vlookup(C1154,'Oil &amp; Gas Documents - Canada'!F:M,2,FALSE)</f>
        <v>#N/A</v>
      </c>
      <c r="E1154" s="1" t="str">
        <f>Vlookup(C1154,'Oil &amp; Gas Documents - Canada'!F:N,9,FALSE)</f>
        <v>#N/A</v>
      </c>
      <c r="F1154" s="1" t="s">
        <v>3596</v>
      </c>
      <c r="G1154" s="4" t="str">
        <f>HYPERLINK("http://nimonikapp.com/legislations/293665","http://nimonikapp.com/legislations/293665")</f>
        <v>http://nimonikapp.com/legislations/293665</v>
      </c>
      <c r="H1154" s="1" t="s">
        <v>18</v>
      </c>
      <c r="I1154" s="1" t="s">
        <v>3597</v>
      </c>
      <c r="J1154" s="1" t="s">
        <v>3598</v>
      </c>
      <c r="K1154" s="5">
        <v>44674.0</v>
      </c>
      <c r="L1154" s="5">
        <v>44662.0</v>
      </c>
      <c r="M1154" s="5">
        <v>44665.0</v>
      </c>
      <c r="N1154" s="1" t="s">
        <v>3599</v>
      </c>
    </row>
    <row r="1155" hidden="1">
      <c r="A1155" s="1" t="s">
        <v>66</v>
      </c>
      <c r="B1155" s="1" t="s">
        <v>25</v>
      </c>
      <c r="C1155" s="1" t="s">
        <v>2680</v>
      </c>
      <c r="D1155" s="1" t="str">
        <f>Vlookup(C1155,'Oil &amp; Gas Documents - Canada'!F:M,2,FALSE)</f>
        <v>#N/A</v>
      </c>
      <c r="E1155" s="1" t="str">
        <f>Vlookup(C1155,'Oil &amp; Gas Documents - Canada'!F:N,9,FALSE)</f>
        <v>#N/A</v>
      </c>
      <c r="F1155" s="1" t="s">
        <v>2681</v>
      </c>
      <c r="G1155" s="4" t="str">
        <f>HYPERLINK("http://nimonikapp.com/legislations/117271","http://nimonikapp.com/legislations/117271")</f>
        <v>http://nimonikapp.com/legislations/117271</v>
      </c>
      <c r="H1155" s="1" t="s">
        <v>18</v>
      </c>
      <c r="I1155" s="1" t="s">
        <v>3600</v>
      </c>
      <c r="J1155" s="1" t="s">
        <v>3601</v>
      </c>
      <c r="K1155" s="5">
        <v>44652.0</v>
      </c>
      <c r="L1155" s="5">
        <v>44652.0</v>
      </c>
      <c r="M1155" s="5">
        <v>44665.0</v>
      </c>
      <c r="N1155" s="1" t="s">
        <v>2682</v>
      </c>
    </row>
    <row r="1156" hidden="1">
      <c r="A1156" s="1" t="s">
        <v>202</v>
      </c>
      <c r="B1156" s="1" t="s">
        <v>25</v>
      </c>
      <c r="C1156" s="1" t="s">
        <v>3101</v>
      </c>
      <c r="D1156" s="1" t="str">
        <f>Vlookup(C1156,'Oil &amp; Gas Documents - Canada'!F:M,2,FALSE)</f>
        <v>#N/A</v>
      </c>
      <c r="E1156" s="1" t="str">
        <f>Vlookup(C1156,'Oil &amp; Gas Documents - Canada'!F:N,9,FALSE)</f>
        <v>#N/A</v>
      </c>
      <c r="F1156" s="1" t="s">
        <v>1410</v>
      </c>
      <c r="G1156" s="4" t="str">
        <f>HYPERLINK("http://nimonikapp.com/legislations/342121","http://nimonikapp.com/legislations/342121")</f>
        <v>http://nimonikapp.com/legislations/342121</v>
      </c>
      <c r="H1156" s="1" t="s">
        <v>356</v>
      </c>
      <c r="I1156" s="1" t="s">
        <v>3602</v>
      </c>
      <c r="J1156" s="1" t="s">
        <v>1410</v>
      </c>
      <c r="K1156" s="5">
        <v>44665.0</v>
      </c>
      <c r="L1156" s="5">
        <v>44651.0</v>
      </c>
      <c r="M1156" s="5">
        <v>44665.0</v>
      </c>
      <c r="N1156" s="1" t="s">
        <v>3102</v>
      </c>
    </row>
    <row r="1157" hidden="1">
      <c r="A1157" s="1" t="s">
        <v>202</v>
      </c>
      <c r="B1157" s="1" t="s">
        <v>15</v>
      </c>
      <c r="C1157" s="1" t="s">
        <v>3603</v>
      </c>
      <c r="D1157" s="1" t="str">
        <f>Vlookup(C1157,'Oil &amp; Gas Documents - Canada'!F:M,2,FALSE)</f>
        <v>#N/A</v>
      </c>
      <c r="E1157" s="1" t="str">
        <f>Vlookup(C1157,'Oil &amp; Gas Documents - Canada'!F:N,9,FALSE)</f>
        <v>#N/A</v>
      </c>
      <c r="F1157" s="1" t="s">
        <v>3604</v>
      </c>
      <c r="G1157" s="4" t="str">
        <f>HYPERLINK("http://nimonikapp.com/legislations/342910","http://nimonikapp.com/legislations/342910")</f>
        <v>http://nimonikapp.com/legislations/342910</v>
      </c>
      <c r="H1157" s="1" t="s">
        <v>18</v>
      </c>
      <c r="K1157" s="5">
        <v>44664.0</v>
      </c>
      <c r="L1157" s="5">
        <v>44679.0</v>
      </c>
      <c r="M1157" s="5">
        <v>44664.0</v>
      </c>
    </row>
    <row r="1158" hidden="1">
      <c r="A1158" s="1" t="s">
        <v>73</v>
      </c>
      <c r="B1158" s="1" t="s">
        <v>25</v>
      </c>
      <c r="C1158" s="1" t="s">
        <v>2232</v>
      </c>
      <c r="D1158" s="1" t="str">
        <f>Vlookup(C1158,'Oil &amp; Gas Documents - Canada'!F:M,2,FALSE)</f>
        <v>#N/A</v>
      </c>
      <c r="E1158" s="1" t="str">
        <f>Vlookup(C1158,'Oil &amp; Gas Documents - Canada'!F:N,9,FALSE)</f>
        <v>#N/A</v>
      </c>
      <c r="F1158" s="1" t="s">
        <v>2233</v>
      </c>
      <c r="G1158" s="4" t="str">
        <f>HYPERLINK("http://nimonikapp.com/legislations/13492","http://nimonikapp.com/legislations/13492")</f>
        <v>http://nimonikapp.com/legislations/13492</v>
      </c>
      <c r="H1158" s="1" t="s">
        <v>18</v>
      </c>
      <c r="I1158" s="1" t="s">
        <v>3605</v>
      </c>
      <c r="J1158" s="1" t="s">
        <v>3606</v>
      </c>
      <c r="K1158" s="5">
        <v>44664.0</v>
      </c>
      <c r="L1158" s="5">
        <v>44648.0</v>
      </c>
      <c r="M1158" s="5">
        <v>44664.0</v>
      </c>
      <c r="N1158" s="1" t="s">
        <v>2234</v>
      </c>
    </row>
    <row r="1159" hidden="1">
      <c r="A1159" s="1" t="s">
        <v>73</v>
      </c>
      <c r="B1159" s="1" t="s">
        <v>25</v>
      </c>
      <c r="C1159" s="1" t="s">
        <v>3607</v>
      </c>
      <c r="D1159" s="1" t="str">
        <f>Vlookup(C1159,'Oil &amp; Gas Documents - Canada'!F:M,2,FALSE)</f>
        <v>#N/A</v>
      </c>
      <c r="E1159" s="1" t="str">
        <f>Vlookup(C1159,'Oil &amp; Gas Documents - Canada'!F:N,9,FALSE)</f>
        <v>#N/A</v>
      </c>
      <c r="F1159" s="1" t="s">
        <v>3608</v>
      </c>
      <c r="G1159" s="4" t="str">
        <f>HYPERLINK("http://nimonikapp.com/legislations/967","http://nimonikapp.com/legislations/967")</f>
        <v>http://nimonikapp.com/legislations/967</v>
      </c>
      <c r="H1159" s="1" t="s">
        <v>18</v>
      </c>
      <c r="I1159" s="1" t="s">
        <v>3609</v>
      </c>
      <c r="J1159" s="1" t="s">
        <v>3610</v>
      </c>
      <c r="K1159" s="5">
        <v>44664.0</v>
      </c>
      <c r="L1159" s="5">
        <v>44655.0</v>
      </c>
      <c r="M1159" s="5">
        <v>44664.0</v>
      </c>
      <c r="N1159" s="1" t="s">
        <v>3611</v>
      </c>
    </row>
    <row r="1160" hidden="1">
      <c r="A1160" s="1" t="s">
        <v>73</v>
      </c>
      <c r="B1160" s="1" t="s">
        <v>25</v>
      </c>
      <c r="C1160" s="1" t="s">
        <v>2206</v>
      </c>
      <c r="D1160" s="1" t="str">
        <f>Vlookup(C1160,'Oil &amp; Gas Documents - Canada'!F:M,2,FALSE)</f>
        <v>#N/A</v>
      </c>
      <c r="E1160" s="1" t="str">
        <f>Vlookup(C1160,'Oil &amp; Gas Documents - Canada'!F:N,9,FALSE)</f>
        <v>#N/A</v>
      </c>
      <c r="F1160" s="1" t="s">
        <v>2207</v>
      </c>
      <c r="G1160" s="4" t="str">
        <f>HYPERLINK("http://nimonikapp.com/legislations/140502","http://nimonikapp.com/legislations/140502")</f>
        <v>http://nimonikapp.com/legislations/140502</v>
      </c>
      <c r="H1160" s="1" t="s">
        <v>18</v>
      </c>
      <c r="I1160" s="1" t="s">
        <v>3612</v>
      </c>
      <c r="J1160" s="1" t="s">
        <v>3613</v>
      </c>
      <c r="K1160" s="5">
        <v>44664.0</v>
      </c>
      <c r="L1160" s="5">
        <v>44648.0</v>
      </c>
      <c r="M1160" s="5">
        <v>44664.0</v>
      </c>
      <c r="N1160" s="1" t="s">
        <v>2210</v>
      </c>
    </row>
    <row r="1161" hidden="1">
      <c r="A1161" s="1" t="s">
        <v>73</v>
      </c>
      <c r="B1161" s="1" t="s">
        <v>25</v>
      </c>
      <c r="C1161" s="1" t="s">
        <v>2459</v>
      </c>
      <c r="D1161" s="1" t="str">
        <f>Vlookup(C1161,'Oil &amp; Gas Documents - Canada'!F:M,2,FALSE)</f>
        <v>#N/A</v>
      </c>
      <c r="E1161" s="1" t="str">
        <f>Vlookup(C1161,'Oil &amp; Gas Documents - Canada'!F:N,9,FALSE)</f>
        <v>#N/A</v>
      </c>
      <c r="F1161" s="1" t="s">
        <v>2460</v>
      </c>
      <c r="G1161" s="4" t="str">
        <f>HYPERLINK("http://nimonikapp.com/legislations/321812","http://nimonikapp.com/legislations/321812")</f>
        <v>http://nimonikapp.com/legislations/321812</v>
      </c>
      <c r="H1161" s="1" t="s">
        <v>18</v>
      </c>
      <c r="I1161" s="1" t="s">
        <v>3614</v>
      </c>
      <c r="J1161" s="1" t="s">
        <v>3615</v>
      </c>
      <c r="K1161" s="5">
        <v>44664.0</v>
      </c>
      <c r="L1161" s="5">
        <v>44648.0</v>
      </c>
      <c r="M1161" s="5">
        <v>44664.0</v>
      </c>
      <c r="N1161" s="1" t="s">
        <v>2461</v>
      </c>
    </row>
    <row r="1162" hidden="1">
      <c r="A1162" s="1" t="s">
        <v>73</v>
      </c>
      <c r="B1162" s="1" t="s">
        <v>25</v>
      </c>
      <c r="C1162" s="1" t="s">
        <v>3616</v>
      </c>
      <c r="D1162" s="1" t="str">
        <f>Vlookup(C1162,'Oil &amp; Gas Documents - Canada'!F:M,2,FALSE)</f>
        <v>#N/A</v>
      </c>
      <c r="E1162" s="1" t="str">
        <f>Vlookup(C1162,'Oil &amp; Gas Documents - Canada'!F:N,9,FALSE)</f>
        <v>#N/A</v>
      </c>
      <c r="F1162" s="1" t="s">
        <v>3617</v>
      </c>
      <c r="G1162" s="4" t="str">
        <f>HYPERLINK("http://nimonikapp.com/legislations/321956","http://nimonikapp.com/legislations/321956")</f>
        <v>http://nimonikapp.com/legislations/321956</v>
      </c>
      <c r="H1162" s="1" t="s">
        <v>18</v>
      </c>
      <c r="I1162" s="1" t="s">
        <v>3618</v>
      </c>
      <c r="J1162" s="1" t="s">
        <v>3619</v>
      </c>
      <c r="K1162" s="5">
        <v>44664.0</v>
      </c>
      <c r="L1162" s="5">
        <v>44644.0</v>
      </c>
      <c r="M1162" s="5">
        <v>44664.0</v>
      </c>
      <c r="N1162" s="1" t="s">
        <v>3620</v>
      </c>
    </row>
    <row r="1163" hidden="1">
      <c r="A1163" s="1" t="s">
        <v>73</v>
      </c>
      <c r="B1163" s="1" t="s">
        <v>25</v>
      </c>
      <c r="C1163" s="1" t="s">
        <v>1045</v>
      </c>
      <c r="D1163" s="1" t="str">
        <f>Vlookup(C1163,'Oil &amp; Gas Documents - Canada'!F:M,2,FALSE)</f>
        <v>#N/A</v>
      </c>
      <c r="E1163" s="1" t="str">
        <f>Vlookup(C1163,'Oil &amp; Gas Documents - Canada'!F:N,9,FALSE)</f>
        <v>#N/A</v>
      </c>
      <c r="F1163" s="1" t="s">
        <v>1046</v>
      </c>
      <c r="G1163" s="4" t="str">
        <f t="shared" ref="G1163:G1164" si="26">HYPERLINK("http://nimonikapp.com/legislations/321966","http://nimonikapp.com/legislations/321966")</f>
        <v>http://nimonikapp.com/legislations/321966</v>
      </c>
      <c r="H1163" s="1" t="s">
        <v>18</v>
      </c>
      <c r="I1163" s="1" t="s">
        <v>3621</v>
      </c>
      <c r="J1163" s="1" t="s">
        <v>1048</v>
      </c>
      <c r="K1163" s="5">
        <v>44664.0</v>
      </c>
      <c r="L1163" s="5">
        <v>44644.0</v>
      </c>
      <c r="M1163" s="5">
        <v>44664.0</v>
      </c>
      <c r="N1163" s="1" t="s">
        <v>1049</v>
      </c>
    </row>
    <row r="1164" hidden="1">
      <c r="A1164" s="1" t="s">
        <v>73</v>
      </c>
      <c r="B1164" s="1" t="s">
        <v>25</v>
      </c>
      <c r="C1164" s="1" t="s">
        <v>1045</v>
      </c>
      <c r="D1164" s="1" t="str">
        <f>Vlookup(C1164,'Oil &amp; Gas Documents - Canada'!F:M,2,FALSE)</f>
        <v>#N/A</v>
      </c>
      <c r="E1164" s="1" t="str">
        <f>Vlookup(C1164,'Oil &amp; Gas Documents - Canada'!F:N,9,FALSE)</f>
        <v>#N/A</v>
      </c>
      <c r="F1164" s="1" t="s">
        <v>1046</v>
      </c>
      <c r="G1164" s="4" t="str">
        <f t="shared" si="26"/>
        <v>http://nimonikapp.com/legislations/321966</v>
      </c>
      <c r="H1164" s="1" t="s">
        <v>18</v>
      </c>
      <c r="I1164" s="1" t="s">
        <v>3622</v>
      </c>
      <c r="J1164" s="1" t="s">
        <v>1048</v>
      </c>
      <c r="K1164" s="5">
        <v>44664.0</v>
      </c>
      <c r="L1164" s="5">
        <v>44643.0</v>
      </c>
      <c r="M1164" s="5">
        <v>44664.0</v>
      </c>
      <c r="N1164" s="1" t="s">
        <v>1049</v>
      </c>
    </row>
    <row r="1165" hidden="1">
      <c r="A1165" s="1" t="s">
        <v>73</v>
      </c>
      <c r="B1165" s="1" t="s">
        <v>25</v>
      </c>
      <c r="C1165" s="1" t="s">
        <v>3623</v>
      </c>
      <c r="D1165" s="1" t="str">
        <f>Vlookup(C1165,'Oil &amp; Gas Documents - Canada'!F:M,2,FALSE)</f>
        <v>#N/A</v>
      </c>
      <c r="E1165" s="1" t="str">
        <f>Vlookup(C1165,'Oil &amp; Gas Documents - Canada'!F:N,9,FALSE)</f>
        <v>#N/A</v>
      </c>
      <c r="F1165" s="1" t="s">
        <v>3624</v>
      </c>
      <c r="G1165" s="4" t="str">
        <f>HYPERLINK("http://nimonikapp.com/legislations/319385","http://nimonikapp.com/legislations/319385")</f>
        <v>http://nimonikapp.com/legislations/319385</v>
      </c>
      <c r="H1165" s="1" t="s">
        <v>18</v>
      </c>
      <c r="I1165" s="1" t="s">
        <v>3625</v>
      </c>
      <c r="J1165" s="1" t="s">
        <v>3626</v>
      </c>
      <c r="K1165" s="5">
        <v>44664.0</v>
      </c>
      <c r="M1165" s="5">
        <v>44664.0</v>
      </c>
      <c r="N1165" s="1" t="s">
        <v>3627</v>
      </c>
    </row>
    <row r="1166" hidden="1">
      <c r="A1166" s="1" t="s">
        <v>73</v>
      </c>
      <c r="B1166" s="1" t="s">
        <v>25</v>
      </c>
      <c r="C1166" s="1" t="s">
        <v>1066</v>
      </c>
      <c r="D1166" s="1" t="str">
        <f>Vlookup(C1166,'Oil &amp; Gas Documents - Canada'!F:M,2,FALSE)</f>
        <v>#N/A</v>
      </c>
      <c r="E1166" s="1" t="str">
        <f>Vlookup(C1166,'Oil &amp; Gas Documents - Canada'!F:N,9,FALSE)</f>
        <v>#N/A</v>
      </c>
      <c r="F1166" s="1" t="s">
        <v>1067</v>
      </c>
      <c r="G1166" s="4" t="str">
        <f>HYPERLINK("http://nimonikapp.com/legislations/786","http://nimonikapp.com/legislations/786")</f>
        <v>http://nimonikapp.com/legislations/786</v>
      </c>
      <c r="H1166" s="1" t="s">
        <v>18</v>
      </c>
      <c r="I1166" s="1" t="s">
        <v>3625</v>
      </c>
      <c r="J1166" s="1" t="s">
        <v>3626</v>
      </c>
      <c r="K1166" s="5">
        <v>44664.0</v>
      </c>
      <c r="M1166" s="5">
        <v>44664.0</v>
      </c>
      <c r="N1166" s="1" t="s">
        <v>1068</v>
      </c>
    </row>
    <row r="1167" hidden="1">
      <c r="A1167" s="1" t="s">
        <v>202</v>
      </c>
      <c r="B1167" s="1" t="s">
        <v>25</v>
      </c>
      <c r="C1167" s="1" t="s">
        <v>3628</v>
      </c>
      <c r="D1167" s="1" t="str">
        <f>Vlookup(C1167,'Oil &amp; Gas Documents - Canada'!F:M,2,FALSE)</f>
        <v>#N/A</v>
      </c>
      <c r="E1167" s="1" t="str">
        <f>Vlookup(C1167,'Oil &amp; Gas Documents - Canada'!F:N,9,FALSE)</f>
        <v>#N/A</v>
      </c>
      <c r="F1167" s="1" t="s">
        <v>3629</v>
      </c>
      <c r="G1167" s="4" t="str">
        <f>HYPERLINK("http://nimonikapp.com/legislations/941","http://nimonikapp.com/legislations/941")</f>
        <v>http://nimonikapp.com/legislations/941</v>
      </c>
      <c r="H1167" s="1" t="s">
        <v>18</v>
      </c>
      <c r="I1167" s="1" t="s">
        <v>3630</v>
      </c>
      <c r="J1167" s="1" t="s">
        <v>3631</v>
      </c>
      <c r="K1167" s="5">
        <v>44664.0</v>
      </c>
      <c r="L1167" s="5">
        <v>44679.0</v>
      </c>
      <c r="M1167" s="5">
        <v>44664.0</v>
      </c>
      <c r="N1167" s="1" t="s">
        <v>3632</v>
      </c>
    </row>
    <row r="1168" hidden="1">
      <c r="A1168" s="1" t="s">
        <v>202</v>
      </c>
      <c r="B1168" s="1" t="s">
        <v>25</v>
      </c>
      <c r="C1168" s="1" t="s">
        <v>3633</v>
      </c>
      <c r="D1168" s="1" t="str">
        <f>Vlookup(C1168,'Oil &amp; Gas Documents - Canada'!F:M,2,FALSE)</f>
        <v>#N/A</v>
      </c>
      <c r="E1168" s="1" t="str">
        <f>Vlookup(C1168,'Oil &amp; Gas Documents - Canada'!F:N,9,FALSE)</f>
        <v>#N/A</v>
      </c>
      <c r="F1168" s="1" t="s">
        <v>3634</v>
      </c>
      <c r="G1168" s="4" t="str">
        <f>HYPERLINK("http://nimonikapp.com/legislations/1097","http://nimonikapp.com/legislations/1097")</f>
        <v>http://nimonikapp.com/legislations/1097</v>
      </c>
      <c r="H1168" s="1" t="s">
        <v>18</v>
      </c>
      <c r="I1168" s="1" t="s">
        <v>3635</v>
      </c>
      <c r="J1168" s="1" t="s">
        <v>3636</v>
      </c>
      <c r="K1168" s="5">
        <v>44664.0</v>
      </c>
      <c r="L1168" s="5">
        <v>44679.0</v>
      </c>
      <c r="M1168" s="5">
        <v>44664.0</v>
      </c>
      <c r="N1168" s="1" t="s">
        <v>3637</v>
      </c>
    </row>
    <row r="1169" hidden="1">
      <c r="A1169" s="1" t="s">
        <v>202</v>
      </c>
      <c r="B1169" s="1" t="s">
        <v>25</v>
      </c>
      <c r="C1169" s="1" t="s">
        <v>3638</v>
      </c>
      <c r="D1169" s="1" t="str">
        <f>Vlookup(C1169,'Oil &amp; Gas Documents - Canada'!F:M,2,FALSE)</f>
        <v>#N/A</v>
      </c>
      <c r="E1169" s="1" t="str">
        <f>Vlookup(C1169,'Oil &amp; Gas Documents - Canada'!F:N,9,FALSE)</f>
        <v>#N/A</v>
      </c>
      <c r="F1169" s="1" t="s">
        <v>3639</v>
      </c>
      <c r="G1169" s="4" t="str">
        <f>HYPERLINK("http://nimonikapp.com/legislations/1091","http://nimonikapp.com/legislations/1091")</f>
        <v>http://nimonikapp.com/legislations/1091</v>
      </c>
      <c r="H1169" s="1" t="s">
        <v>18</v>
      </c>
      <c r="I1169" s="1" t="s">
        <v>3640</v>
      </c>
      <c r="J1169" s="1" t="s">
        <v>3641</v>
      </c>
      <c r="K1169" s="5">
        <v>44664.0</v>
      </c>
      <c r="L1169" s="5">
        <v>44679.0</v>
      </c>
      <c r="M1169" s="5">
        <v>44664.0</v>
      </c>
      <c r="N1169" s="1" t="s">
        <v>3642</v>
      </c>
    </row>
    <row r="1170" hidden="1">
      <c r="A1170" s="1" t="s">
        <v>202</v>
      </c>
      <c r="B1170" s="1" t="s">
        <v>25</v>
      </c>
      <c r="C1170" s="1" t="s">
        <v>3460</v>
      </c>
      <c r="D1170" s="1" t="str">
        <f>Vlookup(C1170,'Oil &amp; Gas Documents - Canada'!F:M,2,FALSE)</f>
        <v>#N/A</v>
      </c>
      <c r="E1170" s="1" t="str">
        <f>Vlookup(C1170,'Oil &amp; Gas Documents - Canada'!F:N,9,FALSE)</f>
        <v>#N/A</v>
      </c>
      <c r="F1170" s="1" t="s">
        <v>3461</v>
      </c>
      <c r="G1170" s="4" t="str">
        <f>HYPERLINK("http://nimonikapp.com/legislations/1082","http://nimonikapp.com/legislations/1082")</f>
        <v>http://nimonikapp.com/legislations/1082</v>
      </c>
      <c r="H1170" s="1" t="s">
        <v>18</v>
      </c>
      <c r="I1170" s="1" t="s">
        <v>3643</v>
      </c>
      <c r="J1170" s="1" t="s">
        <v>3644</v>
      </c>
      <c r="K1170" s="5">
        <v>44664.0</v>
      </c>
      <c r="L1170" s="5">
        <v>44682.0</v>
      </c>
      <c r="M1170" s="5">
        <v>44664.0</v>
      </c>
      <c r="N1170" s="1" t="s">
        <v>3464</v>
      </c>
    </row>
    <row r="1171" hidden="1">
      <c r="A1171" s="1" t="s">
        <v>202</v>
      </c>
      <c r="B1171" s="1" t="s">
        <v>25</v>
      </c>
      <c r="C1171" s="1" t="s">
        <v>3638</v>
      </c>
      <c r="D1171" s="1" t="str">
        <f>Vlookup(C1171,'Oil &amp; Gas Documents - Canada'!F:M,2,FALSE)</f>
        <v>#N/A</v>
      </c>
      <c r="E1171" s="1" t="str">
        <f>Vlookup(C1171,'Oil &amp; Gas Documents - Canada'!F:N,9,FALSE)</f>
        <v>#N/A</v>
      </c>
      <c r="F1171" s="1" t="s">
        <v>3639</v>
      </c>
      <c r="G1171" s="4" t="str">
        <f>HYPERLINK("http://nimonikapp.com/legislations/1091","http://nimonikapp.com/legislations/1091")</f>
        <v>http://nimonikapp.com/legislations/1091</v>
      </c>
      <c r="H1171" s="1" t="s">
        <v>18</v>
      </c>
      <c r="I1171" s="1" t="s">
        <v>3645</v>
      </c>
      <c r="J1171" s="1" t="s">
        <v>3641</v>
      </c>
      <c r="K1171" s="5">
        <v>44664.0</v>
      </c>
      <c r="L1171" s="5">
        <v>44679.0</v>
      </c>
      <c r="M1171" s="5">
        <v>44664.0</v>
      </c>
      <c r="N1171" s="1" t="s">
        <v>3642</v>
      </c>
    </row>
    <row r="1172" hidden="1">
      <c r="A1172" s="1" t="s">
        <v>24</v>
      </c>
      <c r="B1172" s="1" t="s">
        <v>25</v>
      </c>
      <c r="C1172" s="1" t="s">
        <v>3646</v>
      </c>
      <c r="D1172" s="1" t="str">
        <f>Vlookup(C1172,'Oil &amp; Gas Documents - Canada'!F:M,2,FALSE)</f>
        <v>#N/A</v>
      </c>
      <c r="E1172" s="1" t="str">
        <f>Vlookup(C1172,'Oil &amp; Gas Documents - Canada'!F:N,9,FALSE)</f>
        <v>#N/A</v>
      </c>
      <c r="F1172" s="1" t="s">
        <v>2131</v>
      </c>
      <c r="G1172" s="4" t="str">
        <f>HYPERLINK("http://nimonikapp.com/legislations/117064","http://nimonikapp.com/legislations/117064")</f>
        <v>http://nimonikapp.com/legislations/117064</v>
      </c>
      <c r="H1172" s="1" t="s">
        <v>18</v>
      </c>
      <c r="I1172" s="1" t="s">
        <v>571</v>
      </c>
      <c r="J1172" s="1" t="s">
        <v>572</v>
      </c>
      <c r="K1172" s="5">
        <v>44656.0</v>
      </c>
      <c r="L1172" s="5">
        <v>44650.0</v>
      </c>
      <c r="M1172" s="5">
        <v>44664.0</v>
      </c>
    </row>
    <row r="1173" hidden="1">
      <c r="A1173" s="1" t="s">
        <v>24</v>
      </c>
      <c r="B1173" s="1" t="s">
        <v>25</v>
      </c>
      <c r="C1173" s="1" t="s">
        <v>2357</v>
      </c>
      <c r="D1173" s="1" t="str">
        <f>Vlookup(C1173,'Oil &amp; Gas Documents - Canada'!F:M,2,FALSE)</f>
        <v>#N/A</v>
      </c>
      <c r="E1173" s="1" t="str">
        <f>Vlookup(C1173,'Oil &amp; Gas Documents - Canada'!F:N,9,FALSE)</f>
        <v>#N/A</v>
      </c>
      <c r="F1173" s="1" t="s">
        <v>2358</v>
      </c>
      <c r="G1173" s="4" t="str">
        <f>HYPERLINK("http://nimonikapp.com/legislations/14321","http://nimonikapp.com/legislations/14321")</f>
        <v>http://nimonikapp.com/legislations/14321</v>
      </c>
      <c r="H1173" s="1" t="s">
        <v>18</v>
      </c>
      <c r="I1173" s="1" t="s">
        <v>571</v>
      </c>
      <c r="J1173" s="1" t="s">
        <v>572</v>
      </c>
      <c r="K1173" s="5">
        <v>44656.0</v>
      </c>
      <c r="L1173" s="5">
        <v>44650.0</v>
      </c>
      <c r="M1173" s="5">
        <v>44664.0</v>
      </c>
      <c r="N1173" s="1" t="s">
        <v>2359</v>
      </c>
    </row>
    <row r="1174" hidden="1">
      <c r="A1174" s="1" t="s">
        <v>24</v>
      </c>
      <c r="B1174" s="1" t="s">
        <v>25</v>
      </c>
      <c r="C1174" s="1" t="s">
        <v>3647</v>
      </c>
      <c r="D1174" s="1" t="str">
        <f>Vlookup(C1174,'Oil &amp; Gas Documents - Canada'!F:M,2,FALSE)</f>
        <v>#N/A</v>
      </c>
      <c r="E1174" s="1" t="str">
        <f>Vlookup(C1174,'Oil &amp; Gas Documents - Canada'!F:N,9,FALSE)</f>
        <v>#N/A</v>
      </c>
      <c r="F1174" s="1" t="s">
        <v>3648</v>
      </c>
      <c r="G1174" s="4" t="str">
        <f>HYPERLINK("http://nimonikapp.com/legislations/10650","http://nimonikapp.com/legislations/10650")</f>
        <v>http://nimonikapp.com/legislations/10650</v>
      </c>
      <c r="H1174" s="1" t="s">
        <v>18</v>
      </c>
      <c r="I1174" s="1" t="s">
        <v>571</v>
      </c>
      <c r="J1174" s="1" t="s">
        <v>572</v>
      </c>
      <c r="K1174" s="5">
        <v>44656.0</v>
      </c>
      <c r="L1174" s="5">
        <v>44650.0</v>
      </c>
      <c r="M1174" s="5">
        <v>44664.0</v>
      </c>
    </row>
    <row r="1175" hidden="1">
      <c r="A1175" s="1" t="s">
        <v>24</v>
      </c>
      <c r="B1175" s="1" t="s">
        <v>25</v>
      </c>
      <c r="C1175" s="1" t="s">
        <v>3649</v>
      </c>
      <c r="D1175" s="1" t="str">
        <f>Vlookup(C1175,'Oil &amp; Gas Documents - Canada'!F:M,2,FALSE)</f>
        <v>#N/A</v>
      </c>
      <c r="E1175" s="1" t="str">
        <f>Vlookup(C1175,'Oil &amp; Gas Documents - Canada'!F:N,9,FALSE)</f>
        <v>#N/A</v>
      </c>
      <c r="F1175" s="1" t="s">
        <v>3650</v>
      </c>
      <c r="G1175" s="4" t="str">
        <f>HYPERLINK("http://nimonikapp.com/legislations/56","http://nimonikapp.com/legislations/56")</f>
        <v>http://nimonikapp.com/legislations/56</v>
      </c>
      <c r="H1175" s="1" t="s">
        <v>18</v>
      </c>
      <c r="I1175" s="1" t="s">
        <v>571</v>
      </c>
      <c r="J1175" s="1" t="s">
        <v>572</v>
      </c>
      <c r="K1175" s="5">
        <v>44656.0</v>
      </c>
      <c r="L1175" s="5">
        <v>44650.0</v>
      </c>
      <c r="M1175" s="5">
        <v>44664.0</v>
      </c>
    </row>
    <row r="1176" hidden="1">
      <c r="A1176" s="1" t="s">
        <v>24</v>
      </c>
      <c r="B1176" s="1" t="s">
        <v>25</v>
      </c>
      <c r="C1176" s="1" t="s">
        <v>3651</v>
      </c>
      <c r="D1176" s="1" t="str">
        <f>Vlookup(C1176,'Oil &amp; Gas Documents - Canada'!F:M,2,FALSE)</f>
        <v>#N/A</v>
      </c>
      <c r="E1176" s="1" t="str">
        <f>Vlookup(C1176,'Oil &amp; Gas Documents - Canada'!F:N,9,FALSE)</f>
        <v>#N/A</v>
      </c>
      <c r="F1176" s="1" t="s">
        <v>3652</v>
      </c>
      <c r="G1176" s="4" t="str">
        <f>HYPERLINK("http://nimonikapp.com/legislations/96055","http://nimonikapp.com/legislations/96055")</f>
        <v>http://nimonikapp.com/legislations/96055</v>
      </c>
      <c r="H1176" s="1" t="s">
        <v>18</v>
      </c>
      <c r="I1176" s="1" t="s">
        <v>571</v>
      </c>
      <c r="J1176" s="1" t="s">
        <v>572</v>
      </c>
      <c r="K1176" s="5">
        <v>44656.0</v>
      </c>
      <c r="L1176" s="5">
        <v>44650.0</v>
      </c>
      <c r="M1176" s="5">
        <v>44664.0</v>
      </c>
      <c r="N1176" s="1" t="s">
        <v>3653</v>
      </c>
    </row>
    <row r="1177" hidden="1">
      <c r="A1177" s="1" t="s">
        <v>24</v>
      </c>
      <c r="B1177" s="1" t="s">
        <v>25</v>
      </c>
      <c r="C1177" s="1" t="s">
        <v>3654</v>
      </c>
      <c r="D1177" s="1" t="str">
        <f>Vlookup(C1177,'Oil &amp; Gas Documents - Canada'!F:M,2,FALSE)</f>
        <v>#N/A</v>
      </c>
      <c r="E1177" s="1" t="str">
        <f>Vlookup(C1177,'Oil &amp; Gas Documents - Canada'!F:N,9,FALSE)</f>
        <v>#N/A</v>
      </c>
      <c r="F1177" s="1" t="s">
        <v>3655</v>
      </c>
      <c r="G1177" s="4" t="str">
        <f>HYPERLINK("http://nimonikapp.com/legislations/6753","http://nimonikapp.com/legislations/6753")</f>
        <v>http://nimonikapp.com/legislations/6753</v>
      </c>
      <c r="H1177" s="1" t="s">
        <v>18</v>
      </c>
      <c r="I1177" s="1" t="s">
        <v>571</v>
      </c>
      <c r="J1177" s="1" t="s">
        <v>572</v>
      </c>
      <c r="K1177" s="5">
        <v>44656.0</v>
      </c>
      <c r="L1177" s="5">
        <v>44650.0</v>
      </c>
      <c r="M1177" s="5">
        <v>44664.0</v>
      </c>
    </row>
    <row r="1178" hidden="1">
      <c r="A1178" s="1" t="s">
        <v>24</v>
      </c>
      <c r="B1178" s="1" t="s">
        <v>25</v>
      </c>
      <c r="C1178" s="1" t="s">
        <v>3656</v>
      </c>
      <c r="D1178" s="1" t="str">
        <f>Vlookup(C1178,'Oil &amp; Gas Documents - Canada'!F:M,2,FALSE)</f>
        <v>#N/A</v>
      </c>
      <c r="E1178" s="1" t="str">
        <f>Vlookup(C1178,'Oil &amp; Gas Documents - Canada'!F:N,9,FALSE)</f>
        <v>#N/A</v>
      </c>
      <c r="F1178" s="1" t="s">
        <v>3657</v>
      </c>
      <c r="G1178" s="4" t="str">
        <f>HYPERLINK("http://nimonikapp.com/legislations/14455","http://nimonikapp.com/legislations/14455")</f>
        <v>http://nimonikapp.com/legislations/14455</v>
      </c>
      <c r="H1178" s="1" t="s">
        <v>18</v>
      </c>
      <c r="I1178" s="1" t="s">
        <v>571</v>
      </c>
      <c r="J1178" s="1" t="s">
        <v>572</v>
      </c>
      <c r="K1178" s="5">
        <v>44656.0</v>
      </c>
      <c r="L1178" s="5">
        <v>44650.0</v>
      </c>
      <c r="M1178" s="5">
        <v>44664.0</v>
      </c>
      <c r="N1178" s="1" t="s">
        <v>3658</v>
      </c>
    </row>
    <row r="1179" hidden="1">
      <c r="A1179" s="1" t="s">
        <v>24</v>
      </c>
      <c r="B1179" s="1" t="s">
        <v>25</v>
      </c>
      <c r="C1179" s="1" t="s">
        <v>3659</v>
      </c>
      <c r="D1179" s="1" t="str">
        <f>Vlookup(C1179,'Oil &amp; Gas Documents - Canada'!F:M,2,FALSE)</f>
        <v>#N/A</v>
      </c>
      <c r="E1179" s="1" t="str">
        <f>Vlookup(C1179,'Oil &amp; Gas Documents - Canada'!F:N,9,FALSE)</f>
        <v>#N/A</v>
      </c>
      <c r="F1179" s="1" t="s">
        <v>3660</v>
      </c>
      <c r="G1179" s="4" t="str">
        <f>HYPERLINK("http://nimonikapp.com/legislations/6755","http://nimonikapp.com/legislations/6755")</f>
        <v>http://nimonikapp.com/legislations/6755</v>
      </c>
      <c r="H1179" s="1" t="s">
        <v>18</v>
      </c>
      <c r="I1179" s="1" t="s">
        <v>571</v>
      </c>
      <c r="J1179" s="1" t="s">
        <v>572</v>
      </c>
      <c r="K1179" s="5">
        <v>44656.0</v>
      </c>
      <c r="L1179" s="5">
        <v>44650.0</v>
      </c>
      <c r="M1179" s="5">
        <v>44664.0</v>
      </c>
    </row>
    <row r="1180" hidden="1">
      <c r="A1180" s="1" t="s">
        <v>24</v>
      </c>
      <c r="B1180" s="1" t="s">
        <v>25</v>
      </c>
      <c r="C1180" s="1" t="s">
        <v>3661</v>
      </c>
      <c r="D1180" s="1" t="str">
        <f>Vlookup(C1180,'Oil &amp; Gas Documents - Canada'!F:M,2,FALSE)</f>
        <v>#N/A</v>
      </c>
      <c r="E1180" s="1" t="str">
        <f>Vlookup(C1180,'Oil &amp; Gas Documents - Canada'!F:N,9,FALSE)</f>
        <v>#N/A</v>
      </c>
      <c r="F1180" s="1" t="s">
        <v>3662</v>
      </c>
      <c r="G1180" s="4" t="str">
        <f>HYPERLINK("http://nimonikapp.com/legislations/117049","http://nimonikapp.com/legislations/117049")</f>
        <v>http://nimonikapp.com/legislations/117049</v>
      </c>
      <c r="H1180" s="1" t="s">
        <v>18</v>
      </c>
      <c r="I1180" s="1" t="s">
        <v>571</v>
      </c>
      <c r="J1180" s="1" t="s">
        <v>572</v>
      </c>
      <c r="K1180" s="5">
        <v>44656.0</v>
      </c>
      <c r="L1180" s="5">
        <v>44650.0</v>
      </c>
      <c r="M1180" s="5">
        <v>44664.0</v>
      </c>
    </row>
    <row r="1181">
      <c r="A1181" s="1" t="s">
        <v>24</v>
      </c>
      <c r="B1181" s="1" t="s">
        <v>25</v>
      </c>
      <c r="C1181" s="1" t="s">
        <v>569</v>
      </c>
      <c r="D1181" s="1" t="s">
        <v>26</v>
      </c>
      <c r="E1181" s="1" t="str">
        <f>Vlookup(C1181,'Oil &amp; Gas Documents - Canada'!F:N,9,FALSE)</f>
        <v>#N/A</v>
      </c>
      <c r="F1181" s="1" t="s">
        <v>568</v>
      </c>
      <c r="G1181" s="4" t="str">
        <f>HYPERLINK("http://nimonikapp.com/legislations/7012","http://nimonikapp.com/legislations/7012")</f>
        <v>http://nimonikapp.com/legislations/7012</v>
      </c>
      <c r="H1181" s="1" t="s">
        <v>18</v>
      </c>
      <c r="I1181" s="1" t="s">
        <v>571</v>
      </c>
      <c r="J1181" s="1" t="s">
        <v>572</v>
      </c>
      <c r="K1181" s="5">
        <v>44656.0</v>
      </c>
      <c r="L1181" s="5">
        <v>44650.0</v>
      </c>
      <c r="M1181" s="5">
        <v>44664.0</v>
      </c>
      <c r="N1181" s="1" t="s">
        <v>570</v>
      </c>
    </row>
    <row r="1182" hidden="1">
      <c r="A1182" s="1" t="s">
        <v>24</v>
      </c>
      <c r="B1182" s="1" t="s">
        <v>25</v>
      </c>
      <c r="C1182" s="1" t="s">
        <v>3663</v>
      </c>
      <c r="D1182" s="1" t="str">
        <f>Vlookup(C1182,'Oil &amp; Gas Documents - Canada'!F:M,2,FALSE)</f>
        <v>#N/A</v>
      </c>
      <c r="E1182" s="1" t="str">
        <f>Vlookup(C1182,'Oil &amp; Gas Documents - Canada'!F:N,9,FALSE)</f>
        <v>#N/A</v>
      </c>
      <c r="F1182" s="1" t="s">
        <v>3664</v>
      </c>
      <c r="G1182" s="4" t="str">
        <f>HYPERLINK("http://nimonikapp.com/legislations/1237","http://nimonikapp.com/legislations/1237")</f>
        <v>http://nimonikapp.com/legislations/1237</v>
      </c>
      <c r="H1182" s="1" t="s">
        <v>18</v>
      </c>
      <c r="I1182" s="1" t="s">
        <v>571</v>
      </c>
      <c r="J1182" s="1" t="s">
        <v>572</v>
      </c>
      <c r="K1182" s="5">
        <v>44656.0</v>
      </c>
      <c r="L1182" s="5">
        <v>44650.0</v>
      </c>
      <c r="M1182" s="5">
        <v>44664.0</v>
      </c>
      <c r="N1182" s="1" t="s">
        <v>3653</v>
      </c>
    </row>
    <row r="1183" hidden="1">
      <c r="A1183" s="1" t="s">
        <v>24</v>
      </c>
      <c r="B1183" s="1" t="s">
        <v>25</v>
      </c>
      <c r="C1183" s="1" t="s">
        <v>3665</v>
      </c>
      <c r="D1183" s="1" t="str">
        <f>Vlookup(C1183,'Oil &amp; Gas Documents - Canada'!F:M,2,FALSE)</f>
        <v>#N/A</v>
      </c>
      <c r="E1183" s="1" t="str">
        <f>Vlookup(C1183,'Oil &amp; Gas Documents - Canada'!F:N,9,FALSE)</f>
        <v>#N/A</v>
      </c>
      <c r="F1183" s="1" t="s">
        <v>3666</v>
      </c>
      <c r="G1183" s="4" t="str">
        <f>HYPERLINK("http://nimonikapp.com/legislations/11201","http://nimonikapp.com/legislations/11201")</f>
        <v>http://nimonikapp.com/legislations/11201</v>
      </c>
      <c r="H1183" s="1" t="s">
        <v>18</v>
      </c>
      <c r="I1183" s="1" t="s">
        <v>571</v>
      </c>
      <c r="J1183" s="1" t="s">
        <v>572</v>
      </c>
      <c r="K1183" s="5">
        <v>44656.0</v>
      </c>
      <c r="L1183" s="5">
        <v>44650.0</v>
      </c>
      <c r="M1183" s="5">
        <v>44664.0</v>
      </c>
    </row>
    <row r="1184" hidden="1">
      <c r="A1184" s="1" t="s">
        <v>24</v>
      </c>
      <c r="B1184" s="1" t="s">
        <v>25</v>
      </c>
      <c r="C1184" s="1" t="s">
        <v>3667</v>
      </c>
      <c r="D1184" s="1" t="str">
        <f>Vlookup(C1184,'Oil &amp; Gas Documents - Canada'!F:M,2,FALSE)</f>
        <v>#N/A</v>
      </c>
      <c r="E1184" s="1" t="str">
        <f>Vlookup(C1184,'Oil &amp; Gas Documents - Canada'!F:N,9,FALSE)</f>
        <v>#N/A</v>
      </c>
      <c r="F1184" s="1" t="s">
        <v>3668</v>
      </c>
      <c r="G1184" s="4" t="str">
        <f>HYPERLINK("http://nimonikapp.com/legislations/117046","http://nimonikapp.com/legislations/117046")</f>
        <v>http://nimonikapp.com/legislations/117046</v>
      </c>
      <c r="H1184" s="1" t="s">
        <v>18</v>
      </c>
      <c r="I1184" s="1" t="s">
        <v>571</v>
      </c>
      <c r="J1184" s="1" t="s">
        <v>572</v>
      </c>
      <c r="K1184" s="5">
        <v>44656.0</v>
      </c>
      <c r="L1184" s="5">
        <v>44650.0</v>
      </c>
      <c r="M1184" s="5">
        <v>44664.0</v>
      </c>
    </row>
    <row r="1185" hidden="1">
      <c r="A1185" s="1" t="s">
        <v>24</v>
      </c>
      <c r="B1185" s="1" t="s">
        <v>25</v>
      </c>
      <c r="C1185" s="1" t="s">
        <v>3669</v>
      </c>
      <c r="D1185" s="1" t="str">
        <f>Vlookup(C1185,'Oil &amp; Gas Documents - Canada'!F:M,2,FALSE)</f>
        <v>#N/A</v>
      </c>
      <c r="E1185" s="1" t="str">
        <f>Vlookup(C1185,'Oil &amp; Gas Documents - Canada'!F:N,9,FALSE)</f>
        <v>#N/A</v>
      </c>
      <c r="F1185" s="1" t="s">
        <v>3670</v>
      </c>
      <c r="G1185" s="4" t="str">
        <f>HYPERLINK("http://nimonikapp.com/legislations/1118","http://nimonikapp.com/legislations/1118")</f>
        <v>http://nimonikapp.com/legislations/1118</v>
      </c>
      <c r="H1185" s="1" t="s">
        <v>18</v>
      </c>
      <c r="I1185" s="1" t="s">
        <v>571</v>
      </c>
      <c r="J1185" s="1" t="s">
        <v>572</v>
      </c>
      <c r="K1185" s="5">
        <v>44656.0</v>
      </c>
      <c r="L1185" s="5">
        <v>44650.0</v>
      </c>
      <c r="M1185" s="5">
        <v>44664.0</v>
      </c>
    </row>
    <row r="1186" hidden="1">
      <c r="A1186" s="1" t="s">
        <v>24</v>
      </c>
      <c r="B1186" s="1" t="s">
        <v>25</v>
      </c>
      <c r="C1186" s="1" t="s">
        <v>3671</v>
      </c>
      <c r="D1186" s="1" t="str">
        <f>Vlookup(C1186,'Oil &amp; Gas Documents - Canada'!F:M,2,FALSE)</f>
        <v>#N/A</v>
      </c>
      <c r="E1186" s="1" t="str">
        <f>Vlookup(C1186,'Oil &amp; Gas Documents - Canada'!F:N,9,FALSE)</f>
        <v>#N/A</v>
      </c>
      <c r="F1186" s="1" t="s">
        <v>3672</v>
      </c>
      <c r="G1186" s="4" t="str">
        <f>HYPERLINK("http://nimonikapp.com/legislations/130009","http://nimonikapp.com/legislations/130009")</f>
        <v>http://nimonikapp.com/legislations/130009</v>
      </c>
      <c r="H1186" s="1" t="s">
        <v>18</v>
      </c>
      <c r="I1186" s="1" t="s">
        <v>571</v>
      </c>
      <c r="J1186" s="1" t="s">
        <v>572</v>
      </c>
      <c r="K1186" s="5">
        <v>44656.0</v>
      </c>
      <c r="L1186" s="5">
        <v>44650.0</v>
      </c>
      <c r="M1186" s="5">
        <v>44664.0</v>
      </c>
    </row>
    <row r="1187" hidden="1">
      <c r="A1187" s="1" t="s">
        <v>24</v>
      </c>
      <c r="B1187" s="1" t="s">
        <v>25</v>
      </c>
      <c r="C1187" s="1" t="s">
        <v>3673</v>
      </c>
      <c r="D1187" s="1" t="str">
        <f>Vlookup(C1187,'Oil &amp; Gas Documents - Canada'!F:M,2,FALSE)</f>
        <v>#N/A</v>
      </c>
      <c r="E1187" s="1" t="str">
        <f>Vlookup(C1187,'Oil &amp; Gas Documents - Canada'!F:N,9,FALSE)</f>
        <v>#N/A</v>
      </c>
      <c r="F1187" s="1" t="s">
        <v>3674</v>
      </c>
      <c r="G1187" s="4" t="str">
        <f>HYPERLINK("http://nimonikapp.com/legislations/6751","http://nimonikapp.com/legislations/6751")</f>
        <v>http://nimonikapp.com/legislations/6751</v>
      </c>
      <c r="H1187" s="1" t="s">
        <v>18</v>
      </c>
      <c r="I1187" s="1" t="s">
        <v>571</v>
      </c>
      <c r="J1187" s="1" t="s">
        <v>572</v>
      </c>
      <c r="K1187" s="5">
        <v>44656.0</v>
      </c>
      <c r="L1187" s="5">
        <v>44650.0</v>
      </c>
      <c r="M1187" s="5">
        <v>44664.0</v>
      </c>
    </row>
    <row r="1188" hidden="1">
      <c r="A1188" s="1" t="s">
        <v>24</v>
      </c>
      <c r="B1188" s="1" t="s">
        <v>25</v>
      </c>
      <c r="C1188" s="1" t="s">
        <v>2845</v>
      </c>
      <c r="D1188" s="1" t="str">
        <f>Vlookup(C1188,'Oil &amp; Gas Documents - Canada'!F:M,2,FALSE)</f>
        <v>#N/A</v>
      </c>
      <c r="E1188" s="1" t="str">
        <f>Vlookup(C1188,'Oil &amp; Gas Documents - Canada'!F:N,9,FALSE)</f>
        <v>#N/A</v>
      </c>
      <c r="F1188" s="1" t="s">
        <v>2846</v>
      </c>
      <c r="G1188" s="4" t="str">
        <f>HYPERLINK("http://nimonikapp.com/legislations/1119","http://nimonikapp.com/legislations/1119")</f>
        <v>http://nimonikapp.com/legislations/1119</v>
      </c>
      <c r="H1188" s="1" t="s">
        <v>18</v>
      </c>
      <c r="I1188" s="1" t="s">
        <v>571</v>
      </c>
      <c r="J1188" s="1" t="s">
        <v>572</v>
      </c>
      <c r="K1188" s="5">
        <v>44656.0</v>
      </c>
      <c r="L1188" s="5">
        <v>44650.0</v>
      </c>
      <c r="M1188" s="5">
        <v>44664.0</v>
      </c>
      <c r="N1188" s="1" t="s">
        <v>2847</v>
      </c>
    </row>
    <row r="1189" hidden="1">
      <c r="A1189" s="1" t="s">
        <v>24</v>
      </c>
      <c r="B1189" s="1" t="s">
        <v>25</v>
      </c>
      <c r="C1189" s="1" t="s">
        <v>3675</v>
      </c>
      <c r="D1189" s="1" t="str">
        <f>Vlookup(C1189,'Oil &amp; Gas Documents - Canada'!F:M,2,FALSE)</f>
        <v>#N/A</v>
      </c>
      <c r="E1189" s="1" t="str">
        <f>Vlookup(C1189,'Oil &amp; Gas Documents - Canada'!F:N,9,FALSE)</f>
        <v>#N/A</v>
      </c>
      <c r="F1189" s="1" t="s">
        <v>3676</v>
      </c>
      <c r="G1189" s="4" t="str">
        <f>HYPERLINK("http://nimonikapp.com/legislations/1121","http://nimonikapp.com/legislations/1121")</f>
        <v>http://nimonikapp.com/legislations/1121</v>
      </c>
      <c r="H1189" s="1" t="s">
        <v>18</v>
      </c>
      <c r="I1189" s="1" t="s">
        <v>571</v>
      </c>
      <c r="J1189" s="1" t="s">
        <v>572</v>
      </c>
      <c r="K1189" s="5">
        <v>44656.0</v>
      </c>
      <c r="L1189" s="5">
        <v>44650.0</v>
      </c>
      <c r="M1189" s="5">
        <v>44664.0</v>
      </c>
      <c r="N1189" s="1" t="s">
        <v>3677</v>
      </c>
    </row>
    <row r="1190" hidden="1">
      <c r="A1190" s="1" t="s">
        <v>24</v>
      </c>
      <c r="B1190" s="1" t="s">
        <v>25</v>
      </c>
      <c r="C1190" s="1" t="s">
        <v>1617</v>
      </c>
      <c r="D1190" s="1" t="str">
        <f>Vlookup(C1190,'Oil &amp; Gas Documents - Canada'!F:M,2,FALSE)</f>
        <v>#N/A</v>
      </c>
      <c r="E1190" s="1" t="str">
        <f>Vlookup(C1190,'Oil &amp; Gas Documents - Canada'!F:N,9,FALSE)</f>
        <v>#N/A</v>
      </c>
      <c r="F1190" s="1" t="s">
        <v>1618</v>
      </c>
      <c r="G1190" s="4" t="str">
        <f>HYPERLINK("http://nimonikapp.com/legislations/1247","http://nimonikapp.com/legislations/1247")</f>
        <v>http://nimonikapp.com/legislations/1247</v>
      </c>
      <c r="H1190" s="1" t="s">
        <v>18</v>
      </c>
      <c r="I1190" s="1" t="s">
        <v>571</v>
      </c>
      <c r="J1190" s="1" t="s">
        <v>572</v>
      </c>
      <c r="K1190" s="5">
        <v>44656.0</v>
      </c>
      <c r="L1190" s="5">
        <v>44650.0</v>
      </c>
      <c r="M1190" s="5">
        <v>44664.0</v>
      </c>
      <c r="N1190" s="1" t="s">
        <v>1621</v>
      </c>
    </row>
    <row r="1191" hidden="1">
      <c r="A1191" s="1" t="s">
        <v>24</v>
      </c>
      <c r="B1191" s="1" t="s">
        <v>25</v>
      </c>
      <c r="C1191" s="1" t="s">
        <v>3678</v>
      </c>
      <c r="D1191" s="1" t="str">
        <f>Vlookup(C1191,'Oil &amp; Gas Documents - Canada'!F:M,2,FALSE)</f>
        <v>#N/A</v>
      </c>
      <c r="E1191" s="1" t="str">
        <f>Vlookup(C1191,'Oil &amp; Gas Documents - Canada'!F:N,9,FALSE)</f>
        <v>#N/A</v>
      </c>
      <c r="F1191" s="1" t="s">
        <v>3679</v>
      </c>
      <c r="G1191" s="4" t="str">
        <f>HYPERLINK("http://nimonikapp.com/legislations/117043","http://nimonikapp.com/legislations/117043")</f>
        <v>http://nimonikapp.com/legislations/117043</v>
      </c>
      <c r="H1191" s="1" t="s">
        <v>18</v>
      </c>
      <c r="I1191" s="1" t="s">
        <v>571</v>
      </c>
      <c r="J1191" s="1" t="s">
        <v>572</v>
      </c>
      <c r="K1191" s="5">
        <v>44656.0</v>
      </c>
      <c r="L1191" s="5">
        <v>44650.0</v>
      </c>
      <c r="M1191" s="5">
        <v>44664.0</v>
      </c>
    </row>
    <row r="1192" hidden="1">
      <c r="A1192" s="1" t="s">
        <v>24</v>
      </c>
      <c r="B1192" s="1" t="s">
        <v>25</v>
      </c>
      <c r="C1192" s="1" t="s">
        <v>3680</v>
      </c>
      <c r="D1192" s="1" t="str">
        <f>Vlookup(C1192,'Oil &amp; Gas Documents - Canada'!F:M,2,FALSE)</f>
        <v>#N/A</v>
      </c>
      <c r="E1192" s="1" t="str">
        <f>Vlookup(C1192,'Oil &amp; Gas Documents - Canada'!F:N,9,FALSE)</f>
        <v>#N/A</v>
      </c>
      <c r="F1192" s="1" t="s">
        <v>3681</v>
      </c>
      <c r="G1192" s="4" t="str">
        <f>HYPERLINK("http://nimonikapp.com/legislations/117041","http://nimonikapp.com/legislations/117041")</f>
        <v>http://nimonikapp.com/legislations/117041</v>
      </c>
      <c r="H1192" s="1" t="s">
        <v>18</v>
      </c>
      <c r="I1192" s="1" t="s">
        <v>571</v>
      </c>
      <c r="J1192" s="1" t="s">
        <v>572</v>
      </c>
      <c r="K1192" s="5">
        <v>44656.0</v>
      </c>
      <c r="L1192" s="5">
        <v>44650.0</v>
      </c>
      <c r="M1192" s="5">
        <v>44664.0</v>
      </c>
    </row>
    <row r="1193" hidden="1">
      <c r="A1193" s="1" t="s">
        <v>24</v>
      </c>
      <c r="B1193" s="1" t="s">
        <v>25</v>
      </c>
      <c r="C1193" s="1" t="s">
        <v>3682</v>
      </c>
      <c r="D1193" s="1" t="str">
        <f>Vlookup(C1193,'Oil &amp; Gas Documents - Canada'!F:M,2,FALSE)</f>
        <v>#N/A</v>
      </c>
      <c r="E1193" s="1" t="str">
        <f>Vlookup(C1193,'Oil &amp; Gas Documents - Canada'!F:N,9,FALSE)</f>
        <v>#N/A</v>
      </c>
      <c r="F1193" s="1" t="s">
        <v>3683</v>
      </c>
      <c r="G1193" s="4" t="str">
        <f>HYPERLINK("http://nimonikapp.com/legislations/116390","http://nimonikapp.com/legislations/116390")</f>
        <v>http://nimonikapp.com/legislations/116390</v>
      </c>
      <c r="H1193" s="1" t="s">
        <v>18</v>
      </c>
      <c r="I1193" s="1" t="s">
        <v>571</v>
      </c>
      <c r="J1193" s="1" t="s">
        <v>572</v>
      </c>
      <c r="K1193" s="5">
        <v>44656.0</v>
      </c>
      <c r="L1193" s="5">
        <v>44650.0</v>
      </c>
      <c r="M1193" s="5">
        <v>44664.0</v>
      </c>
    </row>
    <row r="1194" hidden="1">
      <c r="A1194" s="1" t="s">
        <v>99</v>
      </c>
      <c r="B1194" s="1" t="s">
        <v>15</v>
      </c>
      <c r="C1194" s="1" t="s">
        <v>3684</v>
      </c>
      <c r="D1194" s="1" t="str">
        <f>Vlookup(C1194,'Oil &amp; Gas Documents - Canada'!F:M,2,FALSE)</f>
        <v>#N/A</v>
      </c>
      <c r="E1194" s="1" t="str">
        <f>Vlookup(C1194,'Oil &amp; Gas Documents - Canada'!F:N,9,FALSE)</f>
        <v>#N/A</v>
      </c>
      <c r="F1194" s="1" t="s">
        <v>3685</v>
      </c>
      <c r="G1194" s="4" t="str">
        <f>HYPERLINK("http://nimonikapp.com/legislations/342799","http://nimonikapp.com/legislations/342799")</f>
        <v>http://nimonikapp.com/legislations/342799</v>
      </c>
      <c r="H1194" s="1" t="s">
        <v>18</v>
      </c>
      <c r="K1194" s="5">
        <v>44659.0</v>
      </c>
      <c r="L1194" s="5">
        <v>44659.0</v>
      </c>
      <c r="M1194" s="5">
        <v>44663.0</v>
      </c>
    </row>
    <row r="1195" hidden="1">
      <c r="A1195" s="1" t="s">
        <v>99</v>
      </c>
      <c r="B1195" s="1" t="s">
        <v>15</v>
      </c>
      <c r="C1195" s="1" t="s">
        <v>3686</v>
      </c>
      <c r="D1195" s="1" t="str">
        <f>Vlookup(C1195,'Oil &amp; Gas Documents - Canada'!F:M,2,FALSE)</f>
        <v>#N/A</v>
      </c>
      <c r="E1195" s="1" t="str">
        <f>Vlookup(C1195,'Oil &amp; Gas Documents - Canada'!F:N,9,FALSE)</f>
        <v>#N/A</v>
      </c>
      <c r="F1195" s="1" t="s">
        <v>3687</v>
      </c>
      <c r="G1195" s="4" t="str">
        <f>HYPERLINK("http://nimonikapp.com/legislations/342797","http://nimonikapp.com/legislations/342797")</f>
        <v>http://nimonikapp.com/legislations/342797</v>
      </c>
      <c r="H1195" s="1" t="s">
        <v>18</v>
      </c>
      <c r="K1195" s="5">
        <v>44659.0</v>
      </c>
      <c r="L1195" s="5">
        <v>44659.0</v>
      </c>
      <c r="M1195" s="5">
        <v>44663.0</v>
      </c>
    </row>
    <row r="1196">
      <c r="A1196" s="1" t="s">
        <v>73</v>
      </c>
      <c r="B1196" s="1" t="s">
        <v>15</v>
      </c>
      <c r="C1196" s="1" t="s">
        <v>574</v>
      </c>
      <c r="D1196" s="1" t="s">
        <v>26</v>
      </c>
      <c r="E1196" s="1" t="str">
        <f>Vlookup(C1196,'Oil &amp; Gas Documents - Canada'!F:N,9,FALSE)</f>
        <v>#N/A</v>
      </c>
      <c r="F1196" s="1" t="s">
        <v>573</v>
      </c>
      <c r="G1196" s="4" t="str">
        <f>HYPERLINK("http://nimonikapp.com/legislations/117084","http://nimonikapp.com/legislations/117084")</f>
        <v>http://nimonikapp.com/legislations/117084</v>
      </c>
      <c r="H1196" s="1" t="s">
        <v>52</v>
      </c>
      <c r="I1196" s="1" t="s">
        <v>576</v>
      </c>
      <c r="J1196" s="1" t="s">
        <v>577</v>
      </c>
      <c r="K1196" s="5">
        <v>44470.0</v>
      </c>
      <c r="L1196" s="5">
        <v>44470.0</v>
      </c>
      <c r="M1196" s="5">
        <v>44663.0</v>
      </c>
      <c r="N1196" s="1" t="s">
        <v>575</v>
      </c>
    </row>
    <row r="1197">
      <c r="A1197" s="1" t="s">
        <v>73</v>
      </c>
      <c r="B1197" s="1" t="s">
        <v>15</v>
      </c>
      <c r="C1197" s="1" t="s">
        <v>579</v>
      </c>
      <c r="D1197" s="1" t="s">
        <v>26</v>
      </c>
      <c r="E1197" s="1" t="str">
        <f>Vlookup(C1197,'Oil &amp; Gas Documents - Canada'!F:N,9,FALSE)</f>
        <v>#N/A</v>
      </c>
      <c r="F1197" s="1" t="s">
        <v>578</v>
      </c>
      <c r="G1197" s="4" t="str">
        <f>HYPERLINK("http://nimonikapp.com/legislations/117086","http://nimonikapp.com/legislations/117086")</f>
        <v>http://nimonikapp.com/legislations/117086</v>
      </c>
      <c r="H1197" s="1" t="s">
        <v>52</v>
      </c>
      <c r="I1197" s="1" t="s">
        <v>581</v>
      </c>
      <c r="J1197" s="1" t="s">
        <v>578</v>
      </c>
      <c r="K1197" s="5">
        <v>44470.0</v>
      </c>
      <c r="L1197" s="5">
        <v>44470.0</v>
      </c>
      <c r="M1197" s="5">
        <v>44663.0</v>
      </c>
      <c r="N1197" s="1" t="s">
        <v>580</v>
      </c>
    </row>
    <row r="1198" hidden="1">
      <c r="A1198" s="1" t="s">
        <v>73</v>
      </c>
      <c r="B1198" s="1" t="s">
        <v>25</v>
      </c>
      <c r="C1198" s="1" t="s">
        <v>3688</v>
      </c>
      <c r="D1198" s="1" t="str">
        <f>Vlookup(C1198,'Oil &amp; Gas Documents - Canada'!F:M,2,FALSE)</f>
        <v>#N/A</v>
      </c>
      <c r="E1198" s="1" t="str">
        <f>Vlookup(C1198,'Oil &amp; Gas Documents - Canada'!F:N,9,FALSE)</f>
        <v>#N/A</v>
      </c>
      <c r="F1198" s="1" t="s">
        <v>3689</v>
      </c>
      <c r="G1198" s="4" t="str">
        <f>HYPERLINK("http://nimonikapp.com/legislations/122492","http://nimonikapp.com/legislations/122492")</f>
        <v>http://nimonikapp.com/legislations/122492</v>
      </c>
      <c r="H1198" s="1" t="s">
        <v>18</v>
      </c>
      <c r="I1198" s="1" t="s">
        <v>3690</v>
      </c>
      <c r="J1198" s="1" t="s">
        <v>3691</v>
      </c>
      <c r="K1198" s="5">
        <v>44562.0</v>
      </c>
      <c r="M1198" s="5">
        <v>44663.0</v>
      </c>
      <c r="N1198" s="1" t="s">
        <v>3692</v>
      </c>
    </row>
    <row r="1199" hidden="1">
      <c r="A1199" s="1" t="s">
        <v>24</v>
      </c>
      <c r="B1199" s="1" t="s">
        <v>25</v>
      </c>
      <c r="C1199" s="1" t="s">
        <v>3693</v>
      </c>
      <c r="D1199" s="1" t="str">
        <f>Vlookup(C1199,'Oil &amp; Gas Documents - Canada'!F:M,2,FALSE)</f>
        <v>#N/A</v>
      </c>
      <c r="E1199" s="1" t="str">
        <f>Vlookup(C1199,'Oil &amp; Gas Documents - Canada'!F:N,9,FALSE)</f>
        <v>#N/A</v>
      </c>
      <c r="F1199" s="1" t="s">
        <v>3694</v>
      </c>
      <c r="G1199" s="4" t="str">
        <f>HYPERLINK("http://nimonikapp.com/legislations/1243","http://nimonikapp.com/legislations/1243")</f>
        <v>http://nimonikapp.com/legislations/1243</v>
      </c>
      <c r="H1199" s="1" t="s">
        <v>18</v>
      </c>
      <c r="I1199" s="1" t="s">
        <v>3695</v>
      </c>
      <c r="J1199" s="1" t="s">
        <v>3696</v>
      </c>
      <c r="K1199" s="5">
        <v>44656.0</v>
      </c>
      <c r="L1199" s="5">
        <v>44650.0</v>
      </c>
      <c r="M1199" s="5">
        <v>44663.0</v>
      </c>
      <c r="N1199" s="1" t="s">
        <v>3697</v>
      </c>
    </row>
    <row r="1200" hidden="1">
      <c r="A1200" s="1" t="s">
        <v>24</v>
      </c>
      <c r="B1200" s="1" t="s">
        <v>25</v>
      </c>
      <c r="C1200" s="1" t="s">
        <v>3698</v>
      </c>
      <c r="D1200" s="1" t="str">
        <f>Vlookup(C1200,'Oil &amp; Gas Documents - Canada'!F:M,2,FALSE)</f>
        <v>#N/A</v>
      </c>
      <c r="E1200" s="1" t="str">
        <f>Vlookup(C1200,'Oil &amp; Gas Documents - Canada'!F:N,9,FALSE)</f>
        <v>#N/A</v>
      </c>
      <c r="F1200" s="1" t="s">
        <v>3699</v>
      </c>
      <c r="G1200" s="4" t="str">
        <f>HYPERLINK("http://nimonikapp.com/legislations/6764","http://nimonikapp.com/legislations/6764")</f>
        <v>http://nimonikapp.com/legislations/6764</v>
      </c>
      <c r="H1200" s="1" t="s">
        <v>18</v>
      </c>
      <c r="I1200" s="1" t="s">
        <v>3700</v>
      </c>
      <c r="J1200" s="1" t="s">
        <v>3701</v>
      </c>
      <c r="K1200" s="5">
        <v>44656.0</v>
      </c>
      <c r="L1200" s="5">
        <v>44652.0</v>
      </c>
      <c r="M1200" s="5">
        <v>44663.0</v>
      </c>
    </row>
    <row r="1201" hidden="1">
      <c r="A1201" s="1" t="s">
        <v>24</v>
      </c>
      <c r="B1201" s="1" t="s">
        <v>25</v>
      </c>
      <c r="C1201" s="1" t="s">
        <v>3702</v>
      </c>
      <c r="D1201" s="1" t="str">
        <f>Vlookup(C1201,'Oil &amp; Gas Documents - Canada'!F:M,2,FALSE)</f>
        <v>#N/A</v>
      </c>
      <c r="E1201" s="1" t="str">
        <f>Vlookup(C1201,'Oil &amp; Gas Documents - Canada'!F:N,9,FALSE)</f>
        <v>#N/A</v>
      </c>
      <c r="F1201" s="1" t="s">
        <v>3703</v>
      </c>
      <c r="G1201" s="4" t="str">
        <f>HYPERLINK("http://nimonikapp.com/legislations/10221","http://nimonikapp.com/legislations/10221")</f>
        <v>http://nimonikapp.com/legislations/10221</v>
      </c>
      <c r="H1201" s="1" t="s">
        <v>18</v>
      </c>
      <c r="I1201" s="1" t="s">
        <v>3704</v>
      </c>
      <c r="J1201" s="1" t="s">
        <v>3705</v>
      </c>
      <c r="K1201" s="5">
        <v>44656.0</v>
      </c>
      <c r="L1201" s="5">
        <v>44650.0</v>
      </c>
      <c r="M1201" s="5">
        <v>44663.0</v>
      </c>
      <c r="N1201" s="1" t="s">
        <v>3706</v>
      </c>
    </row>
    <row r="1202" hidden="1">
      <c r="A1202" s="1" t="s">
        <v>24</v>
      </c>
      <c r="B1202" s="1" t="s">
        <v>25</v>
      </c>
      <c r="C1202" s="1" t="s">
        <v>3707</v>
      </c>
      <c r="D1202" s="1" t="str">
        <f>Vlookup(C1202,'Oil &amp; Gas Documents - Canada'!F:M,2,FALSE)</f>
        <v>#N/A</v>
      </c>
      <c r="E1202" s="1" t="str">
        <f>Vlookup(C1202,'Oil &amp; Gas Documents - Canada'!F:N,9,FALSE)</f>
        <v>#N/A</v>
      </c>
      <c r="F1202" s="1" t="s">
        <v>3708</v>
      </c>
      <c r="G1202" s="4" t="str">
        <f>HYPERLINK("http://nimonikapp.com/legislations/55","http://nimonikapp.com/legislations/55")</f>
        <v>http://nimonikapp.com/legislations/55</v>
      </c>
      <c r="H1202" s="1" t="s">
        <v>18</v>
      </c>
      <c r="I1202" s="1" t="s">
        <v>3709</v>
      </c>
      <c r="J1202" s="1" t="s">
        <v>3710</v>
      </c>
      <c r="K1202" s="5">
        <v>44651.0</v>
      </c>
      <c r="M1202" s="5">
        <v>44663.0</v>
      </c>
      <c r="N1202" s="1" t="s">
        <v>3711</v>
      </c>
    </row>
    <row r="1203" hidden="1">
      <c r="A1203" s="1" t="s">
        <v>24</v>
      </c>
      <c r="B1203" s="1" t="s">
        <v>25</v>
      </c>
      <c r="C1203" s="1" t="s">
        <v>3712</v>
      </c>
      <c r="D1203" s="1" t="str">
        <f>Vlookup(C1203,'Oil &amp; Gas Documents - Canada'!F:M,2,FALSE)</f>
        <v>#N/A</v>
      </c>
      <c r="E1203" s="1" t="str">
        <f>Vlookup(C1203,'Oil &amp; Gas Documents - Canada'!F:N,9,FALSE)</f>
        <v>#N/A</v>
      </c>
      <c r="F1203" s="1" t="s">
        <v>2660</v>
      </c>
      <c r="G1203" s="4" t="str">
        <f>HYPERLINK("http://nimonikapp.com/legislations/54","http://nimonikapp.com/legislations/54")</f>
        <v>http://nimonikapp.com/legislations/54</v>
      </c>
      <c r="H1203" s="1" t="s">
        <v>18</v>
      </c>
      <c r="I1203" s="1" t="s">
        <v>3709</v>
      </c>
      <c r="J1203" s="1" t="s">
        <v>3710</v>
      </c>
      <c r="K1203" s="5">
        <v>44651.0</v>
      </c>
      <c r="M1203" s="5">
        <v>44663.0</v>
      </c>
      <c r="N1203" s="1" t="s">
        <v>3711</v>
      </c>
    </row>
    <row r="1204" hidden="1">
      <c r="A1204" s="1" t="s">
        <v>24</v>
      </c>
      <c r="B1204" s="1" t="s">
        <v>25</v>
      </c>
      <c r="C1204" s="1" t="s">
        <v>1679</v>
      </c>
      <c r="D1204" s="1" t="str">
        <f>Vlookup(C1204,'Oil &amp; Gas Documents - Canada'!F:M,2,FALSE)</f>
        <v>#N/A</v>
      </c>
      <c r="E1204" s="1" t="str">
        <f>Vlookup(C1204,'Oil &amp; Gas Documents - Canada'!F:N,9,FALSE)</f>
        <v>#N/A</v>
      </c>
      <c r="F1204" s="1" t="s">
        <v>1533</v>
      </c>
      <c r="G1204" s="4" t="str">
        <f>HYPERLINK("http://nimonikapp.com/legislations/96","http://nimonikapp.com/legislations/96")</f>
        <v>http://nimonikapp.com/legislations/96</v>
      </c>
      <c r="H1204" s="1" t="s">
        <v>18</v>
      </c>
      <c r="I1204" s="1" t="s">
        <v>3713</v>
      </c>
      <c r="J1204" s="1" t="s">
        <v>3714</v>
      </c>
      <c r="K1204" s="5">
        <v>44651.0</v>
      </c>
      <c r="L1204" s="5">
        <v>44651.0</v>
      </c>
      <c r="M1204" s="5">
        <v>44663.0</v>
      </c>
      <c r="N1204" s="1" t="s">
        <v>1680</v>
      </c>
    </row>
    <row r="1205" hidden="1">
      <c r="A1205" s="1" t="s">
        <v>14</v>
      </c>
      <c r="B1205" s="1" t="s">
        <v>25</v>
      </c>
      <c r="C1205" s="1" t="s">
        <v>2028</v>
      </c>
      <c r="D1205" s="1" t="str">
        <f>Vlookup(C1205,'Oil &amp; Gas Documents - Canada'!F:M,2,FALSE)</f>
        <v>#N/A</v>
      </c>
      <c r="E1205" s="1" t="str">
        <f>Vlookup(C1205,'Oil &amp; Gas Documents - Canada'!F:N,9,FALSE)</f>
        <v>#N/A</v>
      </c>
      <c r="F1205" s="1" t="s">
        <v>2029</v>
      </c>
      <c r="G1205" s="4" t="str">
        <f>HYPERLINK("http://nimonikapp.com/legislations/4165","http://nimonikapp.com/legislations/4165")</f>
        <v>http://nimonikapp.com/legislations/4165</v>
      </c>
      <c r="H1205" s="1" t="s">
        <v>18</v>
      </c>
      <c r="I1205" s="1" t="s">
        <v>3715</v>
      </c>
      <c r="J1205" s="1" t="s">
        <v>3716</v>
      </c>
      <c r="K1205" s="5">
        <v>44659.0</v>
      </c>
      <c r="L1205" s="5">
        <v>44651.0</v>
      </c>
      <c r="M1205" s="5">
        <v>44663.0</v>
      </c>
      <c r="N1205" s="1" t="s">
        <v>2032</v>
      </c>
    </row>
    <row r="1206">
      <c r="A1206" s="1" t="s">
        <v>14</v>
      </c>
      <c r="B1206" s="1" t="s">
        <v>25</v>
      </c>
      <c r="C1206" s="1" t="s">
        <v>477</v>
      </c>
      <c r="D1206" s="1" t="s">
        <v>26</v>
      </c>
      <c r="E1206" s="1" t="str">
        <f>Vlookup(C1206,'Oil &amp; Gas Documents - Canada'!F:N,9,FALSE)</f>
        <v>#N/A</v>
      </c>
      <c r="F1206" s="1" t="s">
        <v>476</v>
      </c>
      <c r="G1206" s="4" t="str">
        <f>HYPERLINK("http://nimonikapp.com/legislations/123010","http://nimonikapp.com/legislations/123010")</f>
        <v>http://nimonikapp.com/legislations/123010</v>
      </c>
      <c r="H1206" s="1" t="s">
        <v>18</v>
      </c>
      <c r="I1206" s="1" t="s">
        <v>582</v>
      </c>
      <c r="J1206" s="1" t="s">
        <v>583</v>
      </c>
      <c r="K1206" s="5">
        <v>44659.0</v>
      </c>
      <c r="L1206" s="5">
        <v>44651.0</v>
      </c>
      <c r="M1206" s="5">
        <v>44663.0</v>
      </c>
      <c r="N1206" s="1" t="s">
        <v>478</v>
      </c>
    </row>
    <row r="1207" hidden="1">
      <c r="A1207" s="1" t="s">
        <v>14</v>
      </c>
      <c r="B1207" s="1" t="s">
        <v>25</v>
      </c>
      <c r="C1207" s="1" t="s">
        <v>3717</v>
      </c>
      <c r="D1207" s="1" t="str">
        <f>Vlookup(C1207,'Oil &amp; Gas Documents - Canada'!F:M,2,FALSE)</f>
        <v>#N/A</v>
      </c>
      <c r="E1207" s="1" t="str">
        <f>Vlookup(C1207,'Oil &amp; Gas Documents - Canada'!F:N,9,FALSE)</f>
        <v>#N/A</v>
      </c>
      <c r="F1207" s="1" t="s">
        <v>3718</v>
      </c>
      <c r="G1207" s="4" t="str">
        <f>HYPERLINK("http://nimonikapp.com/legislations/3677","http://nimonikapp.com/legislations/3677")</f>
        <v>http://nimonikapp.com/legislations/3677</v>
      </c>
      <c r="H1207" s="1" t="s">
        <v>18</v>
      </c>
      <c r="I1207" s="1" t="s">
        <v>3719</v>
      </c>
      <c r="J1207" s="1" t="s">
        <v>3720</v>
      </c>
      <c r="K1207" s="5">
        <v>44659.0</v>
      </c>
      <c r="L1207" s="5">
        <v>44652.0</v>
      </c>
      <c r="M1207" s="5">
        <v>44663.0</v>
      </c>
      <c r="N1207" s="1" t="s">
        <v>3721</v>
      </c>
    </row>
    <row r="1208" hidden="1">
      <c r="A1208" s="1" t="s">
        <v>73</v>
      </c>
      <c r="B1208" s="1" t="s">
        <v>15</v>
      </c>
      <c r="C1208" s="1" t="s">
        <v>3722</v>
      </c>
      <c r="D1208" s="1" t="str">
        <f>Vlookup(C1208,'Oil &amp; Gas Documents - Canada'!F:M,2,FALSE)</f>
        <v>#N/A</v>
      </c>
      <c r="E1208" s="1" t="str">
        <f>Vlookup(C1208,'Oil &amp; Gas Documents - Canada'!F:N,9,FALSE)</f>
        <v>#N/A</v>
      </c>
      <c r="F1208" s="1" t="s">
        <v>3723</v>
      </c>
      <c r="G1208" s="4" t="str">
        <f>HYPERLINK("http://nimonikapp.com/legislations/342579","http://nimonikapp.com/legislations/342579")</f>
        <v>http://nimonikapp.com/legislations/342579</v>
      </c>
      <c r="H1208" s="1" t="s">
        <v>516</v>
      </c>
      <c r="K1208" s="5">
        <v>44660.0</v>
      </c>
      <c r="M1208" s="5">
        <v>44662.0</v>
      </c>
    </row>
    <row r="1209" hidden="1">
      <c r="A1209" s="1" t="s">
        <v>73</v>
      </c>
      <c r="B1209" s="1" t="s">
        <v>364</v>
      </c>
      <c r="C1209" s="1" t="s">
        <v>3724</v>
      </c>
      <c r="D1209" s="1" t="str">
        <f>Vlookup(C1209,'Oil &amp; Gas Documents - Canada'!F:M,2,FALSE)</f>
        <v>#N/A</v>
      </c>
      <c r="E1209" s="1" t="str">
        <f>Vlookup(C1209,'Oil &amp; Gas Documents - Canada'!F:N,9,FALSE)</f>
        <v>#N/A</v>
      </c>
      <c r="F1209" s="1" t="s">
        <v>3725</v>
      </c>
      <c r="G1209" s="4" t="str">
        <f>HYPERLINK("http://nimonikapp.com/legislations/339718","http://nimonikapp.com/legislations/339718")</f>
        <v>http://nimonikapp.com/legislations/339718</v>
      </c>
      <c r="H1209" s="1" t="s">
        <v>356</v>
      </c>
      <c r="I1209" s="1" t="s">
        <v>3457</v>
      </c>
      <c r="J1209" s="1" t="s">
        <v>3458</v>
      </c>
      <c r="K1209" s="5">
        <v>44660.0</v>
      </c>
      <c r="L1209" s="5">
        <v>44644.0</v>
      </c>
      <c r="M1209" s="5">
        <v>44662.0</v>
      </c>
      <c r="N1209" s="1" t="s">
        <v>3726</v>
      </c>
    </row>
    <row r="1210" hidden="1">
      <c r="A1210" s="1" t="s">
        <v>73</v>
      </c>
      <c r="B1210" s="1" t="s">
        <v>364</v>
      </c>
      <c r="C1210" s="1" t="s">
        <v>3727</v>
      </c>
      <c r="D1210" s="1" t="str">
        <f>Vlookup(C1210,'Oil &amp; Gas Documents - Canada'!F:M,2,FALSE)</f>
        <v>#N/A</v>
      </c>
      <c r="E1210" s="1" t="str">
        <f>Vlookup(C1210,'Oil &amp; Gas Documents - Canada'!F:N,9,FALSE)</f>
        <v>#N/A</v>
      </c>
      <c r="F1210" s="1" t="s">
        <v>3728</v>
      </c>
      <c r="G1210" s="4" t="str">
        <f>HYPERLINK("http://nimonikapp.com/legislations/322099","http://nimonikapp.com/legislations/322099")</f>
        <v>http://nimonikapp.com/legislations/322099</v>
      </c>
      <c r="H1210" s="1" t="s">
        <v>356</v>
      </c>
      <c r="I1210" s="1" t="s">
        <v>2331</v>
      </c>
      <c r="J1210" s="1" t="s">
        <v>2332</v>
      </c>
      <c r="K1210" s="5">
        <v>44660.0</v>
      </c>
      <c r="L1210" s="5">
        <v>44651.0</v>
      </c>
      <c r="M1210" s="5">
        <v>44662.0</v>
      </c>
      <c r="N1210" s="1" t="s">
        <v>3729</v>
      </c>
    </row>
    <row r="1211" hidden="1">
      <c r="A1211" s="1" t="s">
        <v>73</v>
      </c>
      <c r="B1211" s="1" t="s">
        <v>15</v>
      </c>
      <c r="C1211" s="1" t="s">
        <v>3730</v>
      </c>
      <c r="D1211" s="1" t="str">
        <f>Vlookup(C1211,'Oil &amp; Gas Documents - Canada'!F:M,2,FALSE)</f>
        <v>#N/A</v>
      </c>
      <c r="E1211" s="1" t="str">
        <f>Vlookup(C1211,'Oil &amp; Gas Documents - Canada'!F:N,9,FALSE)</f>
        <v>#N/A</v>
      </c>
      <c r="F1211" s="1" t="s">
        <v>3731</v>
      </c>
      <c r="G1211" s="4" t="str">
        <f>HYPERLINK("http://nimonikapp.com/legislations/342091","http://nimonikapp.com/legislations/342091")</f>
        <v>http://nimonikapp.com/legislations/342091</v>
      </c>
      <c r="H1211" s="1" t="s">
        <v>516</v>
      </c>
      <c r="K1211" s="5">
        <v>44653.0</v>
      </c>
      <c r="M1211" s="5">
        <v>44658.0</v>
      </c>
    </row>
    <row r="1212" hidden="1">
      <c r="A1212" s="1" t="s">
        <v>73</v>
      </c>
      <c r="B1212" s="1" t="s">
        <v>15</v>
      </c>
      <c r="C1212" s="1" t="s">
        <v>3732</v>
      </c>
      <c r="D1212" s="1" t="str">
        <f>Vlookup(C1212,'Oil &amp; Gas Documents - Canada'!F:M,2,FALSE)</f>
        <v>#N/A</v>
      </c>
      <c r="E1212" s="1" t="str">
        <f>Vlookup(C1212,'Oil &amp; Gas Documents - Canada'!F:N,9,FALSE)</f>
        <v>#N/A</v>
      </c>
      <c r="F1212" s="1" t="s">
        <v>3733</v>
      </c>
      <c r="G1212" s="4" t="str">
        <f>HYPERLINK("http://nimonikapp.com/legislations/342090","http://nimonikapp.com/legislations/342090")</f>
        <v>http://nimonikapp.com/legislations/342090</v>
      </c>
      <c r="H1212" s="1" t="s">
        <v>516</v>
      </c>
      <c r="K1212" s="5">
        <v>44653.0</v>
      </c>
      <c r="M1212" s="5">
        <v>44658.0</v>
      </c>
    </row>
    <row r="1213" hidden="1">
      <c r="A1213" s="1" t="s">
        <v>73</v>
      </c>
      <c r="B1213" s="1" t="s">
        <v>15</v>
      </c>
      <c r="C1213" s="1" t="s">
        <v>3734</v>
      </c>
      <c r="D1213" s="1" t="str">
        <f>Vlookup(C1213,'Oil &amp; Gas Documents - Canada'!F:M,2,FALSE)</f>
        <v>#N/A</v>
      </c>
      <c r="E1213" s="1" t="str">
        <f>Vlookup(C1213,'Oil &amp; Gas Documents - Canada'!F:N,9,FALSE)</f>
        <v>#N/A</v>
      </c>
      <c r="F1213" s="1" t="s">
        <v>3735</v>
      </c>
      <c r="G1213" s="4" t="str">
        <f>HYPERLINK("http://nimonikapp.com/legislations/342089","http://nimonikapp.com/legislations/342089")</f>
        <v>http://nimonikapp.com/legislations/342089</v>
      </c>
      <c r="H1213" s="1" t="s">
        <v>516</v>
      </c>
      <c r="K1213" s="5">
        <v>44653.0</v>
      </c>
      <c r="M1213" s="5">
        <v>44658.0</v>
      </c>
    </row>
    <row r="1214" hidden="1">
      <c r="A1214" s="1" t="s">
        <v>73</v>
      </c>
      <c r="B1214" s="1" t="s">
        <v>15</v>
      </c>
      <c r="C1214" s="1" t="s">
        <v>3736</v>
      </c>
      <c r="D1214" s="1" t="str">
        <f>Vlookup(C1214,'Oil &amp; Gas Documents - Canada'!F:M,2,FALSE)</f>
        <v>#N/A</v>
      </c>
      <c r="E1214" s="1" t="str">
        <f>Vlookup(C1214,'Oil &amp; Gas Documents - Canada'!F:N,9,FALSE)</f>
        <v>#N/A</v>
      </c>
      <c r="F1214" s="1" t="s">
        <v>1719</v>
      </c>
      <c r="G1214" s="4" t="str">
        <f>HYPERLINK("http://nimonikapp.com/legislations/342088","http://nimonikapp.com/legislations/342088")</f>
        <v>http://nimonikapp.com/legislations/342088</v>
      </c>
      <c r="H1214" s="1" t="s">
        <v>516</v>
      </c>
      <c r="K1214" s="5">
        <v>44653.0</v>
      </c>
      <c r="M1214" s="5">
        <v>44658.0</v>
      </c>
    </row>
    <row r="1215" hidden="1">
      <c r="A1215" s="1" t="s">
        <v>73</v>
      </c>
      <c r="B1215" s="1" t="s">
        <v>15</v>
      </c>
      <c r="C1215" s="1" t="s">
        <v>3737</v>
      </c>
      <c r="D1215" s="1" t="str">
        <f>Vlookup(C1215,'Oil &amp; Gas Documents - Canada'!F:M,2,FALSE)</f>
        <v>#N/A</v>
      </c>
      <c r="E1215" s="1" t="str">
        <f>Vlookup(C1215,'Oil &amp; Gas Documents - Canada'!F:N,9,FALSE)</f>
        <v>#N/A</v>
      </c>
      <c r="F1215" s="1" t="s">
        <v>3738</v>
      </c>
      <c r="G1215" s="4" t="str">
        <f>HYPERLINK("http://nimonikapp.com/legislations/342086","http://nimonikapp.com/legislations/342086")</f>
        <v>http://nimonikapp.com/legislations/342086</v>
      </c>
      <c r="H1215" s="1" t="s">
        <v>516</v>
      </c>
      <c r="K1215" s="5">
        <v>44653.0</v>
      </c>
      <c r="M1215" s="5">
        <v>44658.0</v>
      </c>
    </row>
    <row r="1216" hidden="1">
      <c r="A1216" s="1" t="s">
        <v>73</v>
      </c>
      <c r="B1216" s="1" t="s">
        <v>25</v>
      </c>
      <c r="C1216" s="1" t="s">
        <v>1069</v>
      </c>
      <c r="D1216" s="1" t="str">
        <f>Vlookup(C1216,'Oil &amp; Gas Documents - Canada'!F:M,2,FALSE)</f>
        <v>#N/A</v>
      </c>
      <c r="E1216" s="1" t="str">
        <f>Vlookup(C1216,'Oil &amp; Gas Documents - Canada'!F:N,9,FALSE)</f>
        <v>#N/A</v>
      </c>
      <c r="F1216" s="1" t="s">
        <v>1070</v>
      </c>
      <c r="G1216" s="4" t="str">
        <f>HYPERLINK("http://nimonikapp.com/legislations/897","http://nimonikapp.com/legislations/897")</f>
        <v>http://nimonikapp.com/legislations/897</v>
      </c>
      <c r="H1216" s="1" t="s">
        <v>18</v>
      </c>
      <c r="I1216" s="1" t="s">
        <v>3739</v>
      </c>
      <c r="J1216" s="1" t="s">
        <v>3740</v>
      </c>
      <c r="K1216" s="5">
        <v>44653.0</v>
      </c>
      <c r="L1216" s="5">
        <v>44653.0</v>
      </c>
      <c r="M1216" s="5">
        <v>44658.0</v>
      </c>
      <c r="N1216" s="1" t="s">
        <v>1073</v>
      </c>
    </row>
    <row r="1217" hidden="1">
      <c r="A1217" s="1" t="s">
        <v>202</v>
      </c>
      <c r="B1217" s="1" t="s">
        <v>352</v>
      </c>
      <c r="C1217" s="1" t="s">
        <v>3741</v>
      </c>
      <c r="D1217" s="1" t="str">
        <f>Vlookup(C1217,'Oil &amp; Gas Documents - Canada'!F:M,2,FALSE)</f>
        <v>#N/A</v>
      </c>
      <c r="E1217" s="1" t="str">
        <f>Vlookup(C1217,'Oil &amp; Gas Documents - Canada'!F:N,9,FALSE)</f>
        <v>#N/A</v>
      </c>
      <c r="F1217" s="1" t="s">
        <v>1410</v>
      </c>
      <c r="G1217" s="4" t="str">
        <f>HYPERLINK("http://nimonikapp.com/legislations/266597","http://nimonikapp.com/legislations/266597")</f>
        <v>http://nimonikapp.com/legislations/266597</v>
      </c>
      <c r="H1217" s="1" t="s">
        <v>356</v>
      </c>
      <c r="I1217" s="1" t="s">
        <v>3742</v>
      </c>
      <c r="J1217" s="1" t="s">
        <v>1410</v>
      </c>
      <c r="K1217" s="5">
        <v>44658.0</v>
      </c>
      <c r="L1217" s="5">
        <v>44651.0</v>
      </c>
      <c r="M1217" s="5">
        <v>44658.0</v>
      </c>
      <c r="N1217" s="1" t="s">
        <v>3743</v>
      </c>
    </row>
    <row r="1218" hidden="1">
      <c r="A1218" s="1" t="s">
        <v>202</v>
      </c>
      <c r="B1218" s="1" t="s">
        <v>352</v>
      </c>
      <c r="C1218" s="1" t="s">
        <v>3744</v>
      </c>
      <c r="D1218" s="1" t="str">
        <f>Vlookup(C1218,'Oil &amp; Gas Documents - Canada'!F:M,2,FALSE)</f>
        <v>#N/A</v>
      </c>
      <c r="E1218" s="1" t="str">
        <f>Vlookup(C1218,'Oil &amp; Gas Documents - Canada'!F:N,9,FALSE)</f>
        <v>#N/A</v>
      </c>
      <c r="F1218" s="1" t="s">
        <v>1410</v>
      </c>
      <c r="G1218" s="4" t="str">
        <f>HYPERLINK("http://nimonikapp.com/legislations/161638","http://nimonikapp.com/legislations/161638")</f>
        <v>http://nimonikapp.com/legislations/161638</v>
      </c>
      <c r="H1218" s="1" t="s">
        <v>356</v>
      </c>
      <c r="I1218" s="1" t="s">
        <v>3742</v>
      </c>
      <c r="J1218" s="1" t="s">
        <v>1410</v>
      </c>
      <c r="K1218" s="5">
        <v>44658.0</v>
      </c>
      <c r="L1218" s="5">
        <v>44651.0</v>
      </c>
      <c r="M1218" s="5">
        <v>44658.0</v>
      </c>
      <c r="N1218" s="1" t="s">
        <v>3743</v>
      </c>
    </row>
    <row r="1219" hidden="1">
      <c r="A1219" s="1" t="s">
        <v>66</v>
      </c>
      <c r="B1219" s="1" t="s">
        <v>25</v>
      </c>
      <c r="C1219" s="1" t="s">
        <v>2002</v>
      </c>
      <c r="D1219" s="1" t="str">
        <f>Vlookup(C1219,'Oil &amp; Gas Documents - Canada'!F:M,2,FALSE)</f>
        <v>#N/A</v>
      </c>
      <c r="E1219" s="1" t="str">
        <f>Vlookup(C1219,'Oil &amp; Gas Documents - Canada'!F:N,9,FALSE)</f>
        <v>#N/A</v>
      </c>
      <c r="F1219" s="1" t="s">
        <v>2003</v>
      </c>
      <c r="G1219" s="4" t="str">
        <f>HYPERLINK("http://nimonikapp.com/legislations/315993","http://nimonikapp.com/legislations/315993")</f>
        <v>http://nimonikapp.com/legislations/315993</v>
      </c>
      <c r="H1219" s="1" t="s">
        <v>18</v>
      </c>
      <c r="I1219" s="1" t="s">
        <v>3745</v>
      </c>
      <c r="J1219" s="1" t="s">
        <v>3746</v>
      </c>
      <c r="K1219" s="5">
        <v>44652.0</v>
      </c>
      <c r="L1219" s="5">
        <v>44805.0</v>
      </c>
      <c r="M1219" s="5">
        <v>44658.0</v>
      </c>
      <c r="N1219" s="1" t="s">
        <v>2004</v>
      </c>
    </row>
    <row r="1220" hidden="1">
      <c r="A1220" s="1" t="s">
        <v>66</v>
      </c>
      <c r="B1220" s="1" t="s">
        <v>25</v>
      </c>
      <c r="C1220" s="1" t="s">
        <v>1997</v>
      </c>
      <c r="D1220" s="1" t="str">
        <f>Vlookup(C1220,'Oil &amp; Gas Documents - Canada'!F:M,2,FALSE)</f>
        <v>#N/A</v>
      </c>
      <c r="E1220" s="1" t="str">
        <f>Vlookup(C1220,'Oil &amp; Gas Documents - Canada'!F:N,9,FALSE)</f>
        <v>#N/A</v>
      </c>
      <c r="F1220" s="1" t="s">
        <v>1998</v>
      </c>
      <c r="G1220" s="4" t="str">
        <f>HYPERLINK("http://nimonikapp.com/legislations/103515","http://nimonikapp.com/legislations/103515")</f>
        <v>http://nimonikapp.com/legislations/103515</v>
      </c>
      <c r="H1220" s="1" t="s">
        <v>18</v>
      </c>
      <c r="I1220" s="1" t="s">
        <v>3745</v>
      </c>
      <c r="J1220" s="1" t="s">
        <v>3746</v>
      </c>
      <c r="K1220" s="5">
        <v>44652.0</v>
      </c>
      <c r="L1220" s="5">
        <v>44805.0</v>
      </c>
      <c r="M1220" s="5">
        <v>44658.0</v>
      </c>
      <c r="N1220" s="1" t="s">
        <v>2001</v>
      </c>
    </row>
    <row r="1221" hidden="1">
      <c r="A1221" s="1" t="s">
        <v>202</v>
      </c>
      <c r="B1221" s="1" t="s">
        <v>352</v>
      </c>
      <c r="C1221" s="1" t="s">
        <v>3747</v>
      </c>
      <c r="D1221" s="1" t="str">
        <f>Vlookup(C1221,'Oil &amp; Gas Documents - Canada'!F:M,2,FALSE)</f>
        <v>#N/A</v>
      </c>
      <c r="E1221" s="1" t="str">
        <f>Vlookup(C1221,'Oil &amp; Gas Documents - Canada'!F:N,9,FALSE)</f>
        <v>#N/A</v>
      </c>
      <c r="F1221" s="1" t="s">
        <v>1410</v>
      </c>
      <c r="G1221" s="4" t="str">
        <f>HYPERLINK("http://nimonikapp.com/legislations/320540","http://nimonikapp.com/legislations/320540")</f>
        <v>http://nimonikapp.com/legislations/320540</v>
      </c>
      <c r="H1221" s="1" t="s">
        <v>356</v>
      </c>
      <c r="I1221" s="1" t="s">
        <v>3101</v>
      </c>
      <c r="J1221" s="1" t="s">
        <v>1410</v>
      </c>
      <c r="K1221" s="5">
        <v>44658.0</v>
      </c>
      <c r="L1221" s="5">
        <v>44651.0</v>
      </c>
      <c r="M1221" s="5">
        <v>44658.0</v>
      </c>
      <c r="N1221" s="1" t="s">
        <v>3748</v>
      </c>
    </row>
    <row r="1222" hidden="1">
      <c r="A1222" s="1" t="s">
        <v>202</v>
      </c>
      <c r="B1222" s="1" t="s">
        <v>352</v>
      </c>
      <c r="C1222" s="1" t="s">
        <v>3749</v>
      </c>
      <c r="D1222" s="1" t="str">
        <f>Vlookup(C1222,'Oil &amp; Gas Documents - Canada'!F:M,2,FALSE)</f>
        <v>#N/A</v>
      </c>
      <c r="E1222" s="1" t="str">
        <f>Vlookup(C1222,'Oil &amp; Gas Documents - Canada'!F:N,9,FALSE)</f>
        <v>#N/A</v>
      </c>
      <c r="F1222" s="1" t="s">
        <v>1410</v>
      </c>
      <c r="G1222" s="4" t="str">
        <f>HYPERLINK("http://nimonikapp.com/legislations/318991","http://nimonikapp.com/legislations/318991")</f>
        <v>http://nimonikapp.com/legislations/318991</v>
      </c>
      <c r="H1222" s="1" t="s">
        <v>356</v>
      </c>
      <c r="I1222" s="1" t="s">
        <v>3101</v>
      </c>
      <c r="J1222" s="1" t="s">
        <v>1410</v>
      </c>
      <c r="K1222" s="5">
        <v>44658.0</v>
      </c>
      <c r="L1222" s="5">
        <v>44651.0</v>
      </c>
      <c r="M1222" s="5">
        <v>44658.0</v>
      </c>
      <c r="N1222" s="1" t="s">
        <v>3748</v>
      </c>
    </row>
    <row r="1223" hidden="1">
      <c r="A1223" s="1" t="s">
        <v>202</v>
      </c>
      <c r="B1223" s="1" t="s">
        <v>352</v>
      </c>
      <c r="C1223" s="1" t="s">
        <v>3750</v>
      </c>
      <c r="D1223" s="1" t="str">
        <f>Vlookup(C1223,'Oil &amp; Gas Documents - Canada'!F:M,2,FALSE)</f>
        <v>#N/A</v>
      </c>
      <c r="E1223" s="1" t="str">
        <f>Vlookup(C1223,'Oil &amp; Gas Documents - Canada'!F:N,9,FALSE)</f>
        <v>#N/A</v>
      </c>
      <c r="F1223" s="1" t="s">
        <v>1410</v>
      </c>
      <c r="G1223" s="4" t="str">
        <f>HYPERLINK("http://nimonikapp.com/legislations/312927","http://nimonikapp.com/legislations/312927")</f>
        <v>http://nimonikapp.com/legislations/312927</v>
      </c>
      <c r="H1223" s="1" t="s">
        <v>356</v>
      </c>
      <c r="I1223" s="1" t="s">
        <v>3101</v>
      </c>
      <c r="J1223" s="1" t="s">
        <v>1410</v>
      </c>
      <c r="K1223" s="5">
        <v>44658.0</v>
      </c>
      <c r="L1223" s="5">
        <v>44651.0</v>
      </c>
      <c r="M1223" s="5">
        <v>44658.0</v>
      </c>
      <c r="N1223" s="1" t="s">
        <v>3748</v>
      </c>
    </row>
    <row r="1224" hidden="1">
      <c r="A1224" s="1" t="s">
        <v>202</v>
      </c>
      <c r="B1224" s="1" t="s">
        <v>352</v>
      </c>
      <c r="C1224" s="1" t="s">
        <v>3751</v>
      </c>
      <c r="D1224" s="1" t="str">
        <f>Vlookup(C1224,'Oil &amp; Gas Documents - Canada'!F:M,2,FALSE)</f>
        <v>#N/A</v>
      </c>
      <c r="E1224" s="1" t="str">
        <f>Vlookup(C1224,'Oil &amp; Gas Documents - Canada'!F:N,9,FALSE)</f>
        <v>#N/A</v>
      </c>
      <c r="F1224" s="1" t="s">
        <v>1410</v>
      </c>
      <c r="G1224" s="4" t="str">
        <f>HYPERLINK("http://nimonikapp.com/legislations/287639","http://nimonikapp.com/legislations/287639")</f>
        <v>http://nimonikapp.com/legislations/287639</v>
      </c>
      <c r="H1224" s="1" t="s">
        <v>356</v>
      </c>
      <c r="I1224" s="1" t="s">
        <v>3101</v>
      </c>
      <c r="J1224" s="1" t="s">
        <v>1410</v>
      </c>
      <c r="K1224" s="5">
        <v>44658.0</v>
      </c>
      <c r="L1224" s="5">
        <v>44651.0</v>
      </c>
      <c r="M1224" s="5">
        <v>44658.0</v>
      </c>
      <c r="N1224" s="1" t="s">
        <v>3748</v>
      </c>
    </row>
    <row r="1225" hidden="1">
      <c r="A1225" s="1" t="s">
        <v>202</v>
      </c>
      <c r="B1225" s="1" t="s">
        <v>352</v>
      </c>
      <c r="C1225" s="1" t="s">
        <v>3752</v>
      </c>
      <c r="D1225" s="1" t="str">
        <f>Vlookup(C1225,'Oil &amp; Gas Documents - Canada'!F:M,2,FALSE)</f>
        <v>#N/A</v>
      </c>
      <c r="E1225" s="1" t="str">
        <f>Vlookup(C1225,'Oil &amp; Gas Documents - Canada'!F:N,9,FALSE)</f>
        <v>#N/A</v>
      </c>
      <c r="F1225" s="1" t="s">
        <v>3753</v>
      </c>
      <c r="G1225" s="4" t="str">
        <f>HYPERLINK("http://nimonikapp.com/legislations/158472","http://nimonikapp.com/legislations/158472")</f>
        <v>http://nimonikapp.com/legislations/158472</v>
      </c>
      <c r="H1225" s="1" t="s">
        <v>356</v>
      </c>
      <c r="I1225" s="1" t="s">
        <v>3101</v>
      </c>
      <c r="J1225" s="1" t="s">
        <v>1410</v>
      </c>
      <c r="K1225" s="5">
        <v>44658.0</v>
      </c>
      <c r="L1225" s="5">
        <v>44651.0</v>
      </c>
      <c r="M1225" s="5">
        <v>44658.0</v>
      </c>
      <c r="N1225" s="1" t="s">
        <v>3748</v>
      </c>
    </row>
    <row r="1226" hidden="1">
      <c r="A1226" s="1" t="s">
        <v>202</v>
      </c>
      <c r="B1226" s="1" t="s">
        <v>352</v>
      </c>
      <c r="C1226" s="1" t="s">
        <v>3754</v>
      </c>
      <c r="D1226" s="1" t="str">
        <f>Vlookup(C1226,'Oil &amp; Gas Documents - Canada'!F:M,2,FALSE)</f>
        <v>#N/A</v>
      </c>
      <c r="E1226" s="1" t="str">
        <f>Vlookup(C1226,'Oil &amp; Gas Documents - Canada'!F:N,9,FALSE)</f>
        <v>#N/A</v>
      </c>
      <c r="F1226" s="1" t="s">
        <v>3755</v>
      </c>
      <c r="G1226" s="4" t="str">
        <f>HYPERLINK("http://nimonikapp.com/legislations/155784","http://nimonikapp.com/legislations/155784")</f>
        <v>http://nimonikapp.com/legislations/155784</v>
      </c>
      <c r="H1226" s="1" t="s">
        <v>356</v>
      </c>
      <c r="I1226" s="1" t="s">
        <v>3101</v>
      </c>
      <c r="J1226" s="1" t="s">
        <v>1410</v>
      </c>
      <c r="K1226" s="5">
        <v>44658.0</v>
      </c>
      <c r="L1226" s="5">
        <v>44651.0</v>
      </c>
      <c r="M1226" s="5">
        <v>44658.0</v>
      </c>
      <c r="N1226" s="1" t="s">
        <v>3748</v>
      </c>
    </row>
    <row r="1227" hidden="1">
      <c r="A1227" s="1" t="s">
        <v>202</v>
      </c>
      <c r="B1227" s="1" t="s">
        <v>352</v>
      </c>
      <c r="C1227" s="1" t="s">
        <v>3756</v>
      </c>
      <c r="D1227" s="1" t="str">
        <f>Vlookup(C1227,'Oil &amp; Gas Documents - Canada'!F:M,2,FALSE)</f>
        <v>#N/A</v>
      </c>
      <c r="E1227" s="1" t="str">
        <f>Vlookup(C1227,'Oil &amp; Gas Documents - Canada'!F:N,9,FALSE)</f>
        <v>#N/A</v>
      </c>
      <c r="F1227" s="1" t="s">
        <v>3757</v>
      </c>
      <c r="G1227" s="4" t="str">
        <f>HYPERLINK("http://nimonikapp.com/legislations/155782","http://nimonikapp.com/legislations/155782")</f>
        <v>http://nimonikapp.com/legislations/155782</v>
      </c>
      <c r="H1227" s="1" t="s">
        <v>356</v>
      </c>
      <c r="I1227" s="1" t="s">
        <v>3101</v>
      </c>
      <c r="J1227" s="1" t="s">
        <v>1410</v>
      </c>
      <c r="K1227" s="5">
        <v>44658.0</v>
      </c>
      <c r="L1227" s="5">
        <v>44651.0</v>
      </c>
      <c r="M1227" s="5">
        <v>44658.0</v>
      </c>
      <c r="N1227" s="1" t="s">
        <v>3748</v>
      </c>
    </row>
    <row r="1228" hidden="1">
      <c r="A1228" s="1" t="s">
        <v>202</v>
      </c>
      <c r="B1228" s="1" t="s">
        <v>352</v>
      </c>
      <c r="C1228" s="1" t="s">
        <v>3758</v>
      </c>
      <c r="D1228" s="1" t="str">
        <f>Vlookup(C1228,'Oil &amp; Gas Documents - Canada'!F:M,2,FALSE)</f>
        <v>#N/A</v>
      </c>
      <c r="E1228" s="1" t="str">
        <f>Vlookup(C1228,'Oil &amp; Gas Documents - Canada'!F:N,9,FALSE)</f>
        <v>#N/A</v>
      </c>
      <c r="F1228" s="1" t="s">
        <v>3759</v>
      </c>
      <c r="G1228" s="4" t="str">
        <f>HYPERLINK("http://nimonikapp.com/legislations/155085","http://nimonikapp.com/legislations/155085")</f>
        <v>http://nimonikapp.com/legislations/155085</v>
      </c>
      <c r="H1228" s="1" t="s">
        <v>356</v>
      </c>
      <c r="I1228" s="1" t="s">
        <v>3101</v>
      </c>
      <c r="J1228" s="1" t="s">
        <v>1410</v>
      </c>
      <c r="K1228" s="5">
        <v>44658.0</v>
      </c>
      <c r="L1228" s="5">
        <v>44651.0</v>
      </c>
      <c r="M1228" s="5">
        <v>44658.0</v>
      </c>
      <c r="N1228" s="1" t="s">
        <v>3748</v>
      </c>
    </row>
    <row r="1229" hidden="1">
      <c r="A1229" s="1" t="s">
        <v>202</v>
      </c>
      <c r="B1229" s="1" t="s">
        <v>364</v>
      </c>
      <c r="C1229" s="1" t="s">
        <v>3760</v>
      </c>
      <c r="D1229" s="1" t="str">
        <f>Vlookup(C1229,'Oil &amp; Gas Documents - Canada'!F:M,2,FALSE)</f>
        <v>#N/A</v>
      </c>
      <c r="E1229" s="1" t="str">
        <f>Vlookup(C1229,'Oil &amp; Gas Documents - Canada'!F:N,9,FALSE)</f>
        <v>#N/A</v>
      </c>
      <c r="F1229" s="1" t="s">
        <v>1410</v>
      </c>
      <c r="G1229" s="4" t="str">
        <f>HYPERLINK("http://nimonikapp.com/legislations/307238","http://nimonikapp.com/legislations/307238")</f>
        <v>http://nimonikapp.com/legislations/307238</v>
      </c>
      <c r="H1229" s="1" t="s">
        <v>356</v>
      </c>
      <c r="I1229" s="1" t="s">
        <v>3101</v>
      </c>
      <c r="J1229" s="1" t="s">
        <v>1410</v>
      </c>
      <c r="K1229" s="5">
        <v>44658.0</v>
      </c>
      <c r="L1229" s="5">
        <v>44651.0</v>
      </c>
      <c r="M1229" s="5">
        <v>44658.0</v>
      </c>
      <c r="N1229" s="1" t="s">
        <v>3748</v>
      </c>
    </row>
    <row r="1230" hidden="1">
      <c r="A1230" s="1" t="s">
        <v>70</v>
      </c>
      <c r="B1230" s="1" t="s">
        <v>25</v>
      </c>
      <c r="C1230" s="1" t="s">
        <v>3761</v>
      </c>
      <c r="D1230" s="1" t="str">
        <f>Vlookup(C1230,'Oil &amp; Gas Documents - Canada'!F:M,2,FALSE)</f>
        <v>#N/A</v>
      </c>
      <c r="E1230" s="1" t="str">
        <f>Vlookup(C1230,'Oil &amp; Gas Documents - Canada'!F:N,9,FALSE)</f>
        <v>#N/A</v>
      </c>
      <c r="F1230" s="1" t="s">
        <v>3762</v>
      </c>
      <c r="G1230" s="4" t="str">
        <f>HYPERLINK("http://nimonikapp.com/legislations/1255","http://nimonikapp.com/legislations/1255")</f>
        <v>http://nimonikapp.com/legislations/1255</v>
      </c>
      <c r="H1230" s="1" t="s">
        <v>18</v>
      </c>
      <c r="I1230" s="1" t="s">
        <v>3763</v>
      </c>
      <c r="J1230" s="1" t="s">
        <v>3764</v>
      </c>
      <c r="K1230" s="5">
        <v>44674.0</v>
      </c>
      <c r="L1230" s="5">
        <v>44662.0</v>
      </c>
      <c r="M1230" s="5">
        <v>44657.0</v>
      </c>
      <c r="N1230" s="1" t="s">
        <v>3765</v>
      </c>
    </row>
    <row r="1231" hidden="1">
      <c r="A1231" s="1" t="s">
        <v>70</v>
      </c>
      <c r="B1231" s="1" t="s">
        <v>25</v>
      </c>
      <c r="C1231" s="1" t="s">
        <v>3480</v>
      </c>
      <c r="D1231" s="1" t="str">
        <f>Vlookup(C1231,'Oil &amp; Gas Documents - Canada'!F:M,2,FALSE)</f>
        <v>#N/A</v>
      </c>
      <c r="E1231" s="1" t="str">
        <f>Vlookup(C1231,'Oil &amp; Gas Documents - Canada'!F:N,9,FALSE)</f>
        <v>#N/A</v>
      </c>
      <c r="F1231" s="1" t="s">
        <v>3481</v>
      </c>
      <c r="G1231" s="4" t="str">
        <f>HYPERLINK("http://nimonikapp.com/legislations/295906","http://nimonikapp.com/legislations/295906")</f>
        <v>http://nimonikapp.com/legislations/295906</v>
      </c>
      <c r="H1231" s="1" t="s">
        <v>18</v>
      </c>
      <c r="I1231" s="1" t="s">
        <v>3766</v>
      </c>
      <c r="J1231" s="1" t="s">
        <v>3483</v>
      </c>
      <c r="K1231" s="5">
        <v>44674.0</v>
      </c>
      <c r="L1231" s="5">
        <v>44662.0</v>
      </c>
      <c r="M1231" s="5">
        <v>44657.0</v>
      </c>
      <c r="N1231" s="1" t="s">
        <v>3484</v>
      </c>
    </row>
    <row r="1232" hidden="1">
      <c r="A1232" s="1" t="s">
        <v>70</v>
      </c>
      <c r="B1232" s="1" t="s">
        <v>25</v>
      </c>
      <c r="C1232" s="1" t="s">
        <v>3767</v>
      </c>
      <c r="D1232" s="1" t="str">
        <f>Vlookup(C1232,'Oil &amp; Gas Documents - Canada'!F:M,2,FALSE)</f>
        <v>#N/A</v>
      </c>
      <c r="E1232" s="1" t="str">
        <f>Vlookup(C1232,'Oil &amp; Gas Documents - Canada'!F:N,9,FALSE)</f>
        <v>#N/A</v>
      </c>
      <c r="F1232" s="1" t="s">
        <v>3768</v>
      </c>
      <c r="G1232" s="4" t="str">
        <f>HYPERLINK("http://nimonikapp.com/legislations/94080","http://nimonikapp.com/legislations/94080")</f>
        <v>http://nimonikapp.com/legislations/94080</v>
      </c>
      <c r="H1232" s="1" t="s">
        <v>18</v>
      </c>
      <c r="I1232" s="1" t="s">
        <v>3769</v>
      </c>
      <c r="J1232" s="1" t="s">
        <v>3770</v>
      </c>
      <c r="K1232" s="5">
        <v>44674.0</v>
      </c>
      <c r="L1232" s="5">
        <v>44662.0</v>
      </c>
      <c r="M1232" s="5">
        <v>44657.0</v>
      </c>
    </row>
    <row r="1233" hidden="1">
      <c r="A1233" s="1" t="s">
        <v>66</v>
      </c>
      <c r="B1233" s="1" t="s">
        <v>25</v>
      </c>
      <c r="C1233" s="1" t="s">
        <v>3771</v>
      </c>
      <c r="D1233" s="1" t="str">
        <f>Vlookup(C1233,'Oil &amp; Gas Documents - Canada'!F:M,2,FALSE)</f>
        <v>#N/A</v>
      </c>
      <c r="E1233" s="1" t="str">
        <f>Vlookup(C1233,'Oil &amp; Gas Documents - Canada'!F:N,9,FALSE)</f>
        <v>#N/A</v>
      </c>
      <c r="F1233" s="1" t="s">
        <v>3772</v>
      </c>
      <c r="G1233" s="4" t="str">
        <f>HYPERLINK("http://nimonikapp.com/legislations/15042","http://nimonikapp.com/legislations/15042")</f>
        <v>http://nimonikapp.com/legislations/15042</v>
      </c>
      <c r="H1233" s="1" t="s">
        <v>18</v>
      </c>
      <c r="I1233" s="1" t="s">
        <v>3773</v>
      </c>
      <c r="J1233" s="1" t="s">
        <v>3774</v>
      </c>
      <c r="K1233" s="5">
        <v>44644.0</v>
      </c>
      <c r="L1233" s="5">
        <v>44652.0</v>
      </c>
      <c r="M1233" s="5">
        <v>44657.0</v>
      </c>
      <c r="N1233" s="1" t="s">
        <v>3775</v>
      </c>
    </row>
    <row r="1234" hidden="1">
      <c r="A1234" s="1" t="s">
        <v>66</v>
      </c>
      <c r="B1234" s="1" t="s">
        <v>25</v>
      </c>
      <c r="C1234" s="1" t="s">
        <v>2671</v>
      </c>
      <c r="D1234" s="1" t="str">
        <f>Vlookup(C1234,'Oil &amp; Gas Documents - Canada'!F:M,2,FALSE)</f>
        <v>#N/A</v>
      </c>
      <c r="E1234" s="1" t="str">
        <f>Vlookup(C1234,'Oil &amp; Gas Documents - Canada'!F:N,9,FALSE)</f>
        <v>#N/A</v>
      </c>
      <c r="F1234" s="1" t="s">
        <v>2672</v>
      </c>
      <c r="G1234" s="4" t="str">
        <f>HYPERLINK("http://nimonikapp.com/legislations/316064","http://nimonikapp.com/legislations/316064")</f>
        <v>http://nimonikapp.com/legislations/316064</v>
      </c>
      <c r="H1234" s="1" t="s">
        <v>18</v>
      </c>
      <c r="I1234" s="1" t="s">
        <v>3776</v>
      </c>
      <c r="J1234" s="1" t="s">
        <v>3777</v>
      </c>
      <c r="K1234" s="5">
        <v>44652.0</v>
      </c>
      <c r="L1234" s="5">
        <v>44652.0</v>
      </c>
      <c r="M1234" s="5">
        <v>44657.0</v>
      </c>
    </row>
    <row r="1235" hidden="1">
      <c r="A1235" s="1" t="s">
        <v>66</v>
      </c>
      <c r="B1235" s="1" t="s">
        <v>25</v>
      </c>
      <c r="C1235" s="1" t="s">
        <v>3778</v>
      </c>
      <c r="D1235" s="1" t="str">
        <f>Vlookup(C1235,'Oil &amp; Gas Documents - Canada'!F:M,2,FALSE)</f>
        <v>#N/A</v>
      </c>
      <c r="E1235" s="1" t="str">
        <f>Vlookup(C1235,'Oil &amp; Gas Documents - Canada'!F:N,9,FALSE)</f>
        <v>#N/A</v>
      </c>
      <c r="F1235" s="1" t="s">
        <v>3779</v>
      </c>
      <c r="G1235" s="4" t="str">
        <f>HYPERLINK("http://nimonikapp.com/legislations/316047","http://nimonikapp.com/legislations/316047")</f>
        <v>http://nimonikapp.com/legislations/316047</v>
      </c>
      <c r="H1235" s="1" t="s">
        <v>18</v>
      </c>
      <c r="I1235" s="1" t="s">
        <v>3780</v>
      </c>
      <c r="J1235" s="1" t="s">
        <v>3781</v>
      </c>
      <c r="K1235" s="5">
        <v>44652.0</v>
      </c>
      <c r="L1235" s="5">
        <v>44652.0</v>
      </c>
      <c r="M1235" s="5">
        <v>44657.0</v>
      </c>
      <c r="N1235" s="1" t="s">
        <v>3782</v>
      </c>
    </row>
    <row r="1236" hidden="1">
      <c r="A1236" s="1" t="s">
        <v>66</v>
      </c>
      <c r="B1236" s="1" t="s">
        <v>25</v>
      </c>
      <c r="C1236" s="1" t="s">
        <v>2644</v>
      </c>
      <c r="D1236" s="1" t="str">
        <f>Vlookup(C1236,'Oil &amp; Gas Documents - Canada'!F:M,2,FALSE)</f>
        <v>#N/A</v>
      </c>
      <c r="E1236" s="1" t="str">
        <f>Vlookup(C1236,'Oil &amp; Gas Documents - Canada'!F:N,9,FALSE)</f>
        <v>#N/A</v>
      </c>
      <c r="F1236" s="1" t="s">
        <v>2645</v>
      </c>
      <c r="G1236" s="4" t="str">
        <f>HYPERLINK("http://nimonikapp.com/legislations/315992","http://nimonikapp.com/legislations/315992")</f>
        <v>http://nimonikapp.com/legislations/315992</v>
      </c>
      <c r="H1236" s="1" t="s">
        <v>18</v>
      </c>
      <c r="I1236" s="1" t="s">
        <v>3780</v>
      </c>
      <c r="J1236" s="1" t="s">
        <v>3781</v>
      </c>
      <c r="K1236" s="5">
        <v>44652.0</v>
      </c>
      <c r="L1236" s="5">
        <v>44652.0</v>
      </c>
      <c r="M1236" s="5">
        <v>44657.0</v>
      </c>
      <c r="N1236" s="1" t="s">
        <v>2648</v>
      </c>
    </row>
    <row r="1237" hidden="1">
      <c r="A1237" s="1" t="s">
        <v>66</v>
      </c>
      <c r="B1237" s="1" t="s">
        <v>25</v>
      </c>
      <c r="C1237" s="1" t="s">
        <v>3783</v>
      </c>
      <c r="D1237" s="1" t="str">
        <f>Vlookup(C1237,'Oil &amp; Gas Documents - Canada'!F:M,2,FALSE)</f>
        <v>#N/A</v>
      </c>
      <c r="E1237" s="1" t="str">
        <f>Vlookup(C1237,'Oil &amp; Gas Documents - Canada'!F:N,9,FALSE)</f>
        <v>#N/A</v>
      </c>
      <c r="F1237" s="1" t="s">
        <v>3784</v>
      </c>
      <c r="G1237" s="4" t="str">
        <f>HYPERLINK("http://nimonikapp.com/legislations/316151","http://nimonikapp.com/legislations/316151")</f>
        <v>http://nimonikapp.com/legislations/316151</v>
      </c>
      <c r="H1237" s="1" t="s">
        <v>18</v>
      </c>
      <c r="I1237" s="1" t="s">
        <v>3780</v>
      </c>
      <c r="J1237" s="1" t="s">
        <v>3781</v>
      </c>
      <c r="K1237" s="5">
        <v>44652.0</v>
      </c>
      <c r="L1237" s="5">
        <v>44652.0</v>
      </c>
      <c r="M1237" s="5">
        <v>44657.0</v>
      </c>
    </row>
    <row r="1238" hidden="1">
      <c r="A1238" s="1" t="s">
        <v>66</v>
      </c>
      <c r="B1238" s="1" t="s">
        <v>25</v>
      </c>
      <c r="C1238" s="1" t="s">
        <v>3785</v>
      </c>
      <c r="D1238" s="1" t="str">
        <f>Vlookup(C1238,'Oil &amp; Gas Documents - Canada'!F:M,2,FALSE)</f>
        <v>#N/A</v>
      </c>
      <c r="E1238" s="1" t="str">
        <f>Vlookup(C1238,'Oil &amp; Gas Documents - Canada'!F:N,9,FALSE)</f>
        <v>#N/A</v>
      </c>
      <c r="F1238" s="1" t="s">
        <v>3786</v>
      </c>
      <c r="G1238" s="4" t="str">
        <f>HYPERLINK("http://nimonikapp.com/legislations/316048","http://nimonikapp.com/legislations/316048")</f>
        <v>http://nimonikapp.com/legislations/316048</v>
      </c>
      <c r="H1238" s="1" t="s">
        <v>18</v>
      </c>
      <c r="I1238" s="1" t="s">
        <v>3780</v>
      </c>
      <c r="J1238" s="1" t="s">
        <v>3781</v>
      </c>
      <c r="K1238" s="5">
        <v>44652.0</v>
      </c>
      <c r="L1238" s="5">
        <v>44652.0</v>
      </c>
      <c r="M1238" s="5">
        <v>44657.0</v>
      </c>
      <c r="N1238" s="1" t="s">
        <v>3782</v>
      </c>
    </row>
    <row r="1239" hidden="1">
      <c r="A1239" s="1" t="s">
        <v>1105</v>
      </c>
      <c r="B1239" s="1" t="s">
        <v>25</v>
      </c>
      <c r="C1239" s="1" t="s">
        <v>3787</v>
      </c>
      <c r="D1239" s="1" t="str">
        <f>Vlookup(C1239,'Oil &amp; Gas Documents - Canada'!F:M,2,FALSE)</f>
        <v>#N/A</v>
      </c>
      <c r="E1239" s="1" t="str">
        <f>Vlookup(C1239,'Oil &amp; Gas Documents - Canada'!F:N,9,FALSE)</f>
        <v>#N/A</v>
      </c>
      <c r="F1239" s="1" t="s">
        <v>91</v>
      </c>
      <c r="G1239" s="4" t="str">
        <f>HYPERLINK("http://nimonikapp.com/legislations/459","http://nimonikapp.com/legislations/459")</f>
        <v>http://nimonikapp.com/legislations/459</v>
      </c>
      <c r="H1239" s="1" t="s">
        <v>18</v>
      </c>
      <c r="I1239" s="1" t="s">
        <v>3788</v>
      </c>
      <c r="J1239" s="1" t="s">
        <v>3789</v>
      </c>
      <c r="K1239" s="5">
        <v>44644.0</v>
      </c>
      <c r="L1239" s="5">
        <v>44644.0</v>
      </c>
      <c r="M1239" s="5">
        <v>44656.0</v>
      </c>
    </row>
    <row r="1240" hidden="1">
      <c r="A1240" s="1" t="s">
        <v>557</v>
      </c>
      <c r="B1240" s="1" t="s">
        <v>25</v>
      </c>
      <c r="C1240" s="1" t="s">
        <v>3790</v>
      </c>
      <c r="D1240" s="1" t="str">
        <f>Vlookup(C1240,'Oil &amp; Gas Documents - Canada'!F:M,2,FALSE)</f>
        <v>#N/A</v>
      </c>
      <c r="E1240" s="1" t="str">
        <f>Vlookup(C1240,'Oil &amp; Gas Documents - Canada'!F:N,9,FALSE)</f>
        <v>#N/A</v>
      </c>
      <c r="F1240" s="1" t="s">
        <v>3791</v>
      </c>
      <c r="G1240" s="4" t="str">
        <f>HYPERLINK("http://nimonikapp.com/legislations/278","http://nimonikapp.com/legislations/278")</f>
        <v>http://nimonikapp.com/legislations/278</v>
      </c>
      <c r="H1240" s="1" t="s">
        <v>18</v>
      </c>
      <c r="I1240" s="1" t="s">
        <v>3792</v>
      </c>
      <c r="J1240" s="1" t="s">
        <v>3793</v>
      </c>
      <c r="K1240" s="5">
        <v>44651.0</v>
      </c>
      <c r="M1240" s="5">
        <v>44652.0</v>
      </c>
    </row>
    <row r="1241" hidden="1">
      <c r="A1241" s="1" t="s">
        <v>70</v>
      </c>
      <c r="B1241" s="1" t="s">
        <v>15</v>
      </c>
      <c r="C1241" s="1" t="s">
        <v>3794</v>
      </c>
      <c r="D1241" s="1" t="str">
        <f>Vlookup(C1241,'Oil &amp; Gas Documents - Canada'!F:M,2,FALSE)</f>
        <v>#N/A</v>
      </c>
      <c r="E1241" s="1" t="str">
        <f>Vlookup(C1241,'Oil &amp; Gas Documents - Canada'!F:N,9,FALSE)</f>
        <v>#N/A</v>
      </c>
      <c r="F1241" s="1" t="s">
        <v>3795</v>
      </c>
      <c r="G1241" s="4" t="str">
        <f>HYPERLINK("http://nimonikapp.com/legislations/340716","http://nimonikapp.com/legislations/340716")</f>
        <v>http://nimonikapp.com/legislations/340716</v>
      </c>
      <c r="H1241" s="1" t="s">
        <v>516</v>
      </c>
      <c r="K1241" s="5">
        <v>44588.0</v>
      </c>
      <c r="M1241" s="5">
        <v>44651.0</v>
      </c>
    </row>
    <row r="1242" hidden="1">
      <c r="A1242" s="1" t="s">
        <v>24</v>
      </c>
      <c r="B1242" s="1" t="s">
        <v>25</v>
      </c>
      <c r="C1242" s="1" t="s">
        <v>826</v>
      </c>
      <c r="D1242" s="1" t="str">
        <f>Vlookup(C1242,'Oil &amp; Gas Documents - Canada'!F:M,2,FALSE)</f>
        <v>#N/A</v>
      </c>
      <c r="E1242" s="1" t="str">
        <f>Vlookup(C1242,'Oil &amp; Gas Documents - Canada'!F:N,9,FALSE)</f>
        <v>#N/A</v>
      </c>
      <c r="F1242" s="1" t="s">
        <v>827</v>
      </c>
      <c r="G1242" s="4" t="str">
        <f>HYPERLINK("http://nimonikapp.com/legislations/122769","http://nimonikapp.com/legislations/122769")</f>
        <v>http://nimonikapp.com/legislations/122769</v>
      </c>
      <c r="H1242" s="1" t="s">
        <v>18</v>
      </c>
      <c r="I1242" s="1" t="s">
        <v>3796</v>
      </c>
      <c r="J1242" s="1" t="s">
        <v>3797</v>
      </c>
      <c r="K1242" s="5">
        <v>44648.0</v>
      </c>
      <c r="L1242" s="5">
        <v>44652.0</v>
      </c>
      <c r="M1242" s="5">
        <v>44651.0</v>
      </c>
      <c r="N1242" s="1" t="s">
        <v>828</v>
      </c>
    </row>
    <row r="1243" hidden="1">
      <c r="A1243" s="1" t="s">
        <v>21</v>
      </c>
      <c r="B1243" s="1" t="s">
        <v>25</v>
      </c>
      <c r="C1243" s="1" t="s">
        <v>3798</v>
      </c>
      <c r="D1243" s="1" t="str">
        <f>Vlookup(C1243,'Oil &amp; Gas Documents - Canada'!F:M,2,FALSE)</f>
        <v>#N/A</v>
      </c>
      <c r="E1243" s="1" t="str">
        <f>Vlookup(C1243,'Oil &amp; Gas Documents - Canada'!F:N,9,FALSE)</f>
        <v>#N/A</v>
      </c>
      <c r="F1243" s="1" t="s">
        <v>3799</v>
      </c>
      <c r="G1243" s="4" t="str">
        <f>HYPERLINK("http://nimonikapp.com/legislations/110796","http://nimonikapp.com/legislations/110796")</f>
        <v>http://nimonikapp.com/legislations/110796</v>
      </c>
      <c r="H1243" s="1" t="s">
        <v>18</v>
      </c>
      <c r="I1243" s="1" t="s">
        <v>3800</v>
      </c>
      <c r="J1243" s="1" t="s">
        <v>3801</v>
      </c>
      <c r="K1243" s="5">
        <v>44651.0</v>
      </c>
      <c r="L1243" s="5">
        <v>44628.0</v>
      </c>
      <c r="M1243" s="5">
        <v>44651.0</v>
      </c>
      <c r="N1243" s="1" t="s">
        <v>3802</v>
      </c>
    </row>
    <row r="1244">
      <c r="A1244" s="1" t="s">
        <v>21</v>
      </c>
      <c r="B1244" s="1" t="s">
        <v>352</v>
      </c>
      <c r="C1244" s="1" t="s">
        <v>585</v>
      </c>
      <c r="D1244" s="1" t="str">
        <f>Vlookup(C1244,'Oil &amp; Gas Documents - Canada'!F:M,2,FALSE)</f>
        <v>oil_and_gas</v>
      </c>
      <c r="E1244" s="1" t="str">
        <f>Vlookup(C1244,'Oil &amp; Gas Documents - Canada'!F:N,9,FALSE)</f>
        <v/>
      </c>
      <c r="F1244" s="1" t="s">
        <v>584</v>
      </c>
      <c r="G1244" s="4" t="str">
        <f>HYPERLINK("http://nimonikapp.com/legislations/115649","http://nimonikapp.com/legislations/115649")</f>
        <v>http://nimonikapp.com/legislations/115649</v>
      </c>
      <c r="H1244" s="1" t="s">
        <v>356</v>
      </c>
      <c r="I1244" s="1" t="s">
        <v>587</v>
      </c>
      <c r="J1244" s="1" t="s">
        <v>588</v>
      </c>
      <c r="K1244" s="5">
        <v>44648.0</v>
      </c>
      <c r="L1244" s="5">
        <v>44648.0</v>
      </c>
      <c r="M1244" s="5">
        <v>44651.0</v>
      </c>
      <c r="N1244" s="1" t="s">
        <v>586</v>
      </c>
    </row>
    <row r="1245">
      <c r="A1245" s="1" t="s">
        <v>21</v>
      </c>
      <c r="B1245" s="1" t="s">
        <v>352</v>
      </c>
      <c r="C1245" s="1" t="s">
        <v>590</v>
      </c>
      <c r="D1245" s="1" t="str">
        <f>Vlookup(C1245,'Oil &amp; Gas Documents - Canada'!F:M,2,FALSE)</f>
        <v>oil_and_gas</v>
      </c>
      <c r="E1245" s="1" t="str">
        <f>Vlookup(C1245,'Oil &amp; Gas Documents - Canada'!F:N,9,FALSE)</f>
        <v/>
      </c>
      <c r="F1245" s="1" t="s">
        <v>589</v>
      </c>
      <c r="G1245" s="4" t="str">
        <f>HYPERLINK("http://nimonikapp.com/legislations/115650","http://nimonikapp.com/legislations/115650")</f>
        <v>http://nimonikapp.com/legislations/115650</v>
      </c>
      <c r="H1245" s="1" t="s">
        <v>356</v>
      </c>
      <c r="I1245" s="1" t="s">
        <v>587</v>
      </c>
      <c r="J1245" s="1" t="s">
        <v>588</v>
      </c>
      <c r="K1245" s="5">
        <v>44648.0</v>
      </c>
      <c r="L1245" s="5">
        <v>44648.0</v>
      </c>
      <c r="M1245" s="5">
        <v>44651.0</v>
      </c>
      <c r="N1245" s="1" t="s">
        <v>586</v>
      </c>
    </row>
    <row r="1246">
      <c r="A1246" s="1" t="s">
        <v>21</v>
      </c>
      <c r="B1246" s="1" t="s">
        <v>25</v>
      </c>
      <c r="C1246" s="1" t="s">
        <v>165</v>
      </c>
      <c r="D1246" s="1" t="str">
        <f>Vlookup(C1246,'Oil &amp; Gas Documents - Canada'!F:M,2,FALSE)</f>
        <v>oil_and_gas</v>
      </c>
      <c r="E1246" s="1" t="str">
        <f>Vlookup(C1246,'Oil &amp; Gas Documents - Canada'!F:N,9,FALSE)</f>
        <v/>
      </c>
      <c r="F1246" s="1" t="s">
        <v>164</v>
      </c>
      <c r="G1246" s="4" t="str">
        <f>HYPERLINK("http://nimonikapp.com/legislations/4050","http://nimonikapp.com/legislations/4050")</f>
        <v>http://nimonikapp.com/legislations/4050</v>
      </c>
      <c r="H1246" s="1" t="s">
        <v>18</v>
      </c>
      <c r="I1246" s="1" t="s">
        <v>587</v>
      </c>
      <c r="J1246" s="1" t="s">
        <v>588</v>
      </c>
      <c r="K1246" s="5">
        <v>44648.0</v>
      </c>
      <c r="L1246" s="5">
        <v>44648.0</v>
      </c>
      <c r="M1246" s="5">
        <v>44651.0</v>
      </c>
      <c r="N1246" s="1" t="s">
        <v>166</v>
      </c>
    </row>
    <row r="1247">
      <c r="A1247" s="1" t="s">
        <v>21</v>
      </c>
      <c r="B1247" s="1" t="s">
        <v>25</v>
      </c>
      <c r="C1247" s="1" t="s">
        <v>298</v>
      </c>
      <c r="D1247" s="1" t="str">
        <f>Vlookup(C1247,'Oil &amp; Gas Documents - Canada'!F:M,2,FALSE)</f>
        <v>oil_and_gas</v>
      </c>
      <c r="E1247" s="1" t="str">
        <f>Vlookup(C1247,'Oil &amp; Gas Documents - Canada'!F:N,9,FALSE)</f>
        <v/>
      </c>
      <c r="F1247" s="1" t="s">
        <v>297</v>
      </c>
      <c r="G1247" s="4" t="str">
        <f>HYPERLINK("http://nimonikapp.com/legislations/4047","http://nimonikapp.com/legislations/4047")</f>
        <v>http://nimonikapp.com/legislations/4047</v>
      </c>
      <c r="H1247" s="1" t="s">
        <v>18</v>
      </c>
      <c r="I1247" s="1" t="s">
        <v>587</v>
      </c>
      <c r="J1247" s="1" t="s">
        <v>588</v>
      </c>
      <c r="K1247" s="5">
        <v>44648.0</v>
      </c>
      <c r="L1247" s="5">
        <v>44648.0</v>
      </c>
      <c r="M1247" s="5">
        <v>44651.0</v>
      </c>
      <c r="N1247" s="1" t="s">
        <v>299</v>
      </c>
    </row>
    <row r="1248">
      <c r="A1248" s="1" t="s">
        <v>21</v>
      </c>
      <c r="B1248" s="1" t="s">
        <v>25</v>
      </c>
      <c r="C1248" s="1" t="s">
        <v>308</v>
      </c>
      <c r="D1248" s="1" t="str">
        <f>Vlookup(C1248,'Oil &amp; Gas Documents - Canada'!F:M,2,FALSE)</f>
        <v>oil_and_gas</v>
      </c>
      <c r="E1248" s="1" t="str">
        <f>Vlookup(C1248,'Oil &amp; Gas Documents - Canada'!F:N,9,FALSE)</f>
        <v/>
      </c>
      <c r="F1248" s="1" t="s">
        <v>307</v>
      </c>
      <c r="G1248" s="4" t="str">
        <f>HYPERLINK("http://nimonikapp.com/legislations/4045","http://nimonikapp.com/legislations/4045")</f>
        <v>http://nimonikapp.com/legislations/4045</v>
      </c>
      <c r="H1248" s="1" t="s">
        <v>18</v>
      </c>
      <c r="I1248" s="1" t="s">
        <v>591</v>
      </c>
      <c r="J1248" s="1" t="s">
        <v>592</v>
      </c>
      <c r="K1248" s="5">
        <v>44648.0</v>
      </c>
      <c r="L1248" s="5">
        <v>44648.0</v>
      </c>
      <c r="M1248" s="5">
        <v>44651.0</v>
      </c>
      <c r="N1248" s="1" t="s">
        <v>309</v>
      </c>
    </row>
    <row r="1249" hidden="1">
      <c r="A1249" s="1" t="s">
        <v>73</v>
      </c>
      <c r="B1249" s="1" t="s">
        <v>25</v>
      </c>
      <c r="C1249" s="1" t="s">
        <v>1069</v>
      </c>
      <c r="D1249" s="1" t="str">
        <f>Vlookup(C1249,'Oil &amp; Gas Documents - Canada'!F:M,2,FALSE)</f>
        <v>#N/A</v>
      </c>
      <c r="E1249" s="1" t="str">
        <f>Vlookup(C1249,'Oil &amp; Gas Documents - Canada'!F:N,9,FALSE)</f>
        <v>#N/A</v>
      </c>
      <c r="F1249" s="1" t="s">
        <v>1070</v>
      </c>
      <c r="G1249" s="4" t="str">
        <f>HYPERLINK("http://nimonikapp.com/legislations/897","http://nimonikapp.com/legislations/897")</f>
        <v>http://nimonikapp.com/legislations/897</v>
      </c>
      <c r="H1249" s="1" t="s">
        <v>18</v>
      </c>
      <c r="I1249" s="1" t="s">
        <v>3803</v>
      </c>
      <c r="J1249" s="1" t="s">
        <v>3804</v>
      </c>
      <c r="K1249" s="5">
        <v>44639.0</v>
      </c>
      <c r="L1249" s="5">
        <v>44628.0</v>
      </c>
      <c r="M1249" s="5">
        <v>44650.0</v>
      </c>
      <c r="N1249" s="1" t="s">
        <v>1073</v>
      </c>
    </row>
    <row r="1250" hidden="1">
      <c r="A1250" s="1" t="s">
        <v>73</v>
      </c>
      <c r="B1250" s="1" t="s">
        <v>25</v>
      </c>
      <c r="C1250" s="1" t="s">
        <v>1033</v>
      </c>
      <c r="D1250" s="1" t="str">
        <f>Vlookup(C1250,'Oil &amp; Gas Documents - Canada'!F:M,2,FALSE)</f>
        <v>#N/A</v>
      </c>
      <c r="E1250" s="1" t="str">
        <f>Vlookup(C1250,'Oil &amp; Gas Documents - Canada'!F:N,9,FALSE)</f>
        <v>#N/A</v>
      </c>
      <c r="F1250" s="1" t="s">
        <v>1034</v>
      </c>
      <c r="G1250" s="4" t="str">
        <f>HYPERLINK("http://nimonikapp.com/legislations/895","http://nimonikapp.com/legislations/895")</f>
        <v>http://nimonikapp.com/legislations/895</v>
      </c>
      <c r="H1250" s="1" t="s">
        <v>18</v>
      </c>
      <c r="I1250" s="1" t="s">
        <v>3805</v>
      </c>
      <c r="J1250" s="1" t="s">
        <v>3806</v>
      </c>
      <c r="K1250" s="5">
        <v>44650.0</v>
      </c>
      <c r="L1250" s="5">
        <v>44628.0</v>
      </c>
      <c r="M1250" s="5">
        <v>44650.0</v>
      </c>
      <c r="N1250" s="1" t="s">
        <v>1037</v>
      </c>
    </row>
    <row r="1251" hidden="1">
      <c r="A1251" s="1" t="s">
        <v>70</v>
      </c>
      <c r="B1251" s="1" t="s">
        <v>25</v>
      </c>
      <c r="C1251" s="1" t="s">
        <v>3393</v>
      </c>
      <c r="D1251" s="1" t="str">
        <f>Vlookup(C1251,'Oil &amp; Gas Documents - Canada'!F:M,2,FALSE)</f>
        <v>#N/A</v>
      </c>
      <c r="E1251" s="1" t="str">
        <f>Vlookup(C1251,'Oil &amp; Gas Documents - Canada'!F:N,9,FALSE)</f>
        <v>#N/A</v>
      </c>
      <c r="F1251" s="1" t="s">
        <v>3394</v>
      </c>
      <c r="G1251" s="4" t="str">
        <f>HYPERLINK("http://nimonikapp.com/legislations/1180","http://nimonikapp.com/legislations/1180")</f>
        <v>http://nimonikapp.com/legislations/1180</v>
      </c>
      <c r="H1251" s="1" t="s">
        <v>18</v>
      </c>
      <c r="I1251" s="1" t="s">
        <v>3807</v>
      </c>
      <c r="J1251" s="1" t="s">
        <v>3396</v>
      </c>
      <c r="K1251" s="5">
        <v>44660.0</v>
      </c>
      <c r="L1251" s="5">
        <v>44652.0</v>
      </c>
      <c r="M1251" s="5">
        <v>44650.0</v>
      </c>
      <c r="N1251" s="1" t="s">
        <v>3397</v>
      </c>
    </row>
    <row r="1252" hidden="1">
      <c r="A1252" s="1" t="s">
        <v>70</v>
      </c>
      <c r="B1252" s="1" t="s">
        <v>352</v>
      </c>
      <c r="C1252" s="1" t="s">
        <v>3808</v>
      </c>
      <c r="D1252" s="1" t="str">
        <f>Vlookup(C1252,'Oil &amp; Gas Documents - Canada'!F:M,2,FALSE)</f>
        <v>#N/A</v>
      </c>
      <c r="E1252" s="1" t="str">
        <f>Vlookup(C1252,'Oil &amp; Gas Documents - Canada'!F:N,9,FALSE)</f>
        <v>#N/A</v>
      </c>
      <c r="F1252" s="1" t="s">
        <v>3809</v>
      </c>
      <c r="G1252" s="4" t="str">
        <f>HYPERLINK("http://nimonikapp.com/legislations/158117","http://nimonikapp.com/legislations/158117")</f>
        <v>http://nimonikapp.com/legislations/158117</v>
      </c>
      <c r="H1252" s="1" t="s">
        <v>356</v>
      </c>
      <c r="I1252" s="1" t="s">
        <v>3810</v>
      </c>
      <c r="J1252" s="1" t="s">
        <v>3505</v>
      </c>
      <c r="K1252" s="5">
        <v>44660.0</v>
      </c>
      <c r="L1252" s="5">
        <v>44648.0</v>
      </c>
      <c r="M1252" s="5">
        <v>44650.0</v>
      </c>
      <c r="N1252" s="1" t="s">
        <v>3811</v>
      </c>
    </row>
    <row r="1253" hidden="1">
      <c r="A1253" s="1" t="s">
        <v>73</v>
      </c>
      <c r="B1253" s="1" t="s">
        <v>25</v>
      </c>
      <c r="C1253" s="1" t="s">
        <v>2225</v>
      </c>
      <c r="D1253" s="1" t="str">
        <f>Vlookup(C1253,'Oil &amp; Gas Documents - Canada'!F:M,2,FALSE)</f>
        <v>#N/A</v>
      </c>
      <c r="E1253" s="1" t="str">
        <f>Vlookup(C1253,'Oil &amp; Gas Documents - Canada'!F:N,9,FALSE)</f>
        <v>#N/A</v>
      </c>
      <c r="F1253" s="1" t="s">
        <v>2226</v>
      </c>
      <c r="G1253" s="4" t="str">
        <f>HYPERLINK("http://nimonikapp.com/legislations/321954","http://nimonikapp.com/legislations/321954")</f>
        <v>http://nimonikapp.com/legislations/321954</v>
      </c>
      <c r="H1253" s="1" t="s">
        <v>18</v>
      </c>
      <c r="I1253" s="1" t="s">
        <v>3812</v>
      </c>
      <c r="J1253" s="1" t="s">
        <v>2228</v>
      </c>
      <c r="K1253" s="5">
        <v>44650.0</v>
      </c>
      <c r="L1253" s="5">
        <v>44628.0</v>
      </c>
      <c r="M1253" s="5">
        <v>44650.0</v>
      </c>
      <c r="N1253" s="1" t="s">
        <v>2229</v>
      </c>
    </row>
    <row r="1254" hidden="1">
      <c r="A1254" s="1" t="s">
        <v>73</v>
      </c>
      <c r="B1254" s="1" t="s">
        <v>25</v>
      </c>
      <c r="C1254" s="1" t="s">
        <v>1045</v>
      </c>
      <c r="D1254" s="1" t="str">
        <f>Vlookup(C1254,'Oil &amp; Gas Documents - Canada'!F:M,2,FALSE)</f>
        <v>#N/A</v>
      </c>
      <c r="E1254" s="1" t="str">
        <f>Vlookup(C1254,'Oil &amp; Gas Documents - Canada'!F:N,9,FALSE)</f>
        <v>#N/A</v>
      </c>
      <c r="F1254" s="1" t="s">
        <v>1046</v>
      </c>
      <c r="G1254" s="4" t="str">
        <f t="shared" ref="G1254:G1255" si="27">HYPERLINK("http://nimonikapp.com/legislations/321966","http://nimonikapp.com/legislations/321966")</f>
        <v>http://nimonikapp.com/legislations/321966</v>
      </c>
      <c r="H1254" s="1" t="s">
        <v>18</v>
      </c>
      <c r="I1254" s="1" t="s">
        <v>3813</v>
      </c>
      <c r="J1254" s="1" t="s">
        <v>1048</v>
      </c>
      <c r="K1254" s="5">
        <v>44650.0</v>
      </c>
      <c r="L1254" s="5">
        <v>44630.0</v>
      </c>
      <c r="M1254" s="5">
        <v>44650.0</v>
      </c>
      <c r="N1254" s="1" t="s">
        <v>1049</v>
      </c>
    </row>
    <row r="1255" hidden="1">
      <c r="A1255" s="1" t="s">
        <v>73</v>
      </c>
      <c r="B1255" s="1" t="s">
        <v>25</v>
      </c>
      <c r="C1255" s="1" t="s">
        <v>1045</v>
      </c>
      <c r="D1255" s="1" t="str">
        <f>Vlookup(C1255,'Oil &amp; Gas Documents - Canada'!F:M,2,FALSE)</f>
        <v>#N/A</v>
      </c>
      <c r="E1255" s="1" t="str">
        <f>Vlookup(C1255,'Oil &amp; Gas Documents - Canada'!F:N,9,FALSE)</f>
        <v>#N/A</v>
      </c>
      <c r="F1255" s="1" t="s">
        <v>1046</v>
      </c>
      <c r="G1255" s="4" t="str">
        <f t="shared" si="27"/>
        <v>http://nimonikapp.com/legislations/321966</v>
      </c>
      <c r="H1255" s="1" t="s">
        <v>18</v>
      </c>
      <c r="I1255" s="1" t="s">
        <v>3814</v>
      </c>
      <c r="J1255" s="1" t="s">
        <v>1048</v>
      </c>
      <c r="K1255" s="5">
        <v>44650.0</v>
      </c>
      <c r="L1255" s="5">
        <v>44630.0</v>
      </c>
      <c r="M1255" s="5">
        <v>44650.0</v>
      </c>
      <c r="N1255" s="1" t="s">
        <v>1049</v>
      </c>
    </row>
    <row r="1256" hidden="1">
      <c r="A1256" s="1" t="s">
        <v>73</v>
      </c>
      <c r="B1256" s="1" t="s">
        <v>25</v>
      </c>
      <c r="C1256" s="1" t="s">
        <v>2225</v>
      </c>
      <c r="D1256" s="1" t="str">
        <f>Vlookup(C1256,'Oil &amp; Gas Documents - Canada'!F:M,2,FALSE)</f>
        <v>#N/A</v>
      </c>
      <c r="E1256" s="1" t="str">
        <f>Vlookup(C1256,'Oil &amp; Gas Documents - Canada'!F:N,9,FALSE)</f>
        <v>#N/A</v>
      </c>
      <c r="F1256" s="1" t="s">
        <v>2226</v>
      </c>
      <c r="G1256" s="4" t="str">
        <f>HYPERLINK("http://nimonikapp.com/legislations/321954","http://nimonikapp.com/legislations/321954")</f>
        <v>http://nimonikapp.com/legislations/321954</v>
      </c>
      <c r="H1256" s="1" t="s">
        <v>18</v>
      </c>
      <c r="I1256" s="1" t="s">
        <v>3815</v>
      </c>
      <c r="J1256" s="1" t="s">
        <v>2228</v>
      </c>
      <c r="K1256" s="5">
        <v>44650.0</v>
      </c>
      <c r="L1256" s="5">
        <v>44636.0</v>
      </c>
      <c r="M1256" s="5">
        <v>44650.0</v>
      </c>
      <c r="N1256" s="1" t="s">
        <v>2229</v>
      </c>
    </row>
    <row r="1257" hidden="1">
      <c r="A1257" s="1" t="s">
        <v>73</v>
      </c>
      <c r="B1257" s="1" t="s">
        <v>25</v>
      </c>
      <c r="C1257" s="1" t="s">
        <v>1045</v>
      </c>
      <c r="D1257" s="1" t="str">
        <f>Vlookup(C1257,'Oil &amp; Gas Documents - Canada'!F:M,2,FALSE)</f>
        <v>#N/A</v>
      </c>
      <c r="E1257" s="1" t="str">
        <f>Vlookup(C1257,'Oil &amp; Gas Documents - Canada'!F:N,9,FALSE)</f>
        <v>#N/A</v>
      </c>
      <c r="F1257" s="1" t="s">
        <v>1046</v>
      </c>
      <c r="G1257" s="4" t="str">
        <f>HYPERLINK("http://nimonikapp.com/legislations/321966","http://nimonikapp.com/legislations/321966")</f>
        <v>http://nimonikapp.com/legislations/321966</v>
      </c>
      <c r="H1257" s="1" t="s">
        <v>18</v>
      </c>
      <c r="I1257" s="1" t="s">
        <v>3816</v>
      </c>
      <c r="J1257" s="1" t="s">
        <v>1048</v>
      </c>
      <c r="K1257" s="5">
        <v>44650.0</v>
      </c>
      <c r="L1257" s="5">
        <v>44634.0</v>
      </c>
      <c r="M1257" s="5">
        <v>44650.0</v>
      </c>
      <c r="N1257" s="1" t="s">
        <v>1049</v>
      </c>
    </row>
    <row r="1258" hidden="1">
      <c r="A1258" s="1" t="s">
        <v>221</v>
      </c>
      <c r="B1258" s="1" t="s">
        <v>25</v>
      </c>
      <c r="C1258" s="1" t="s">
        <v>1370</v>
      </c>
      <c r="D1258" s="1" t="str">
        <f>Vlookup(C1258,'Oil &amp; Gas Documents - Canada'!F:M,2,FALSE)</f>
        <v>#N/A</v>
      </c>
      <c r="E1258" s="1" t="str">
        <f>Vlookup(C1258,'Oil &amp; Gas Documents - Canada'!F:N,9,FALSE)</f>
        <v>#N/A</v>
      </c>
      <c r="F1258" s="1" t="s">
        <v>1371</v>
      </c>
      <c r="G1258" s="4" t="str">
        <f>HYPERLINK("http://nimonikapp.com/legislations/249","http://nimonikapp.com/legislations/249")</f>
        <v>http://nimonikapp.com/legislations/249</v>
      </c>
      <c r="H1258" s="1" t="s">
        <v>18</v>
      </c>
      <c r="I1258" s="1" t="s">
        <v>3817</v>
      </c>
      <c r="J1258" s="1" t="s">
        <v>3818</v>
      </c>
      <c r="K1258" s="5">
        <v>44643.0</v>
      </c>
      <c r="M1258" s="5">
        <v>44650.0</v>
      </c>
    </row>
    <row r="1259" hidden="1">
      <c r="A1259" s="1" t="s">
        <v>221</v>
      </c>
      <c r="B1259" s="1" t="s">
        <v>25</v>
      </c>
      <c r="C1259" s="1" t="s">
        <v>2754</v>
      </c>
      <c r="D1259" s="1" t="str">
        <f>Vlookup(C1259,'Oil &amp; Gas Documents - Canada'!F:M,2,FALSE)</f>
        <v>#N/A</v>
      </c>
      <c r="E1259" s="1" t="str">
        <f>Vlookup(C1259,'Oil &amp; Gas Documents - Canada'!F:N,9,FALSE)</f>
        <v>#N/A</v>
      </c>
      <c r="F1259" s="1" t="s">
        <v>2755</v>
      </c>
      <c r="G1259" s="4" t="str">
        <f>HYPERLINK("http://nimonikapp.com/legislations/256","http://nimonikapp.com/legislations/256")</f>
        <v>http://nimonikapp.com/legislations/256</v>
      </c>
      <c r="H1259" s="1" t="s">
        <v>18</v>
      </c>
      <c r="I1259" s="1" t="s">
        <v>3819</v>
      </c>
      <c r="J1259" s="1" t="s">
        <v>3820</v>
      </c>
      <c r="K1259" s="5">
        <v>44643.0</v>
      </c>
      <c r="M1259" s="5">
        <v>44650.0</v>
      </c>
      <c r="N1259" s="1" t="s">
        <v>2758</v>
      </c>
    </row>
    <row r="1260" hidden="1">
      <c r="A1260" s="1" t="s">
        <v>1105</v>
      </c>
      <c r="B1260" s="1" t="s">
        <v>25</v>
      </c>
      <c r="C1260" s="1" t="s">
        <v>3821</v>
      </c>
      <c r="D1260" s="1" t="str">
        <f>Vlookup(C1260,'Oil &amp; Gas Documents - Canada'!F:M,2,FALSE)</f>
        <v>#N/A</v>
      </c>
      <c r="E1260" s="1" t="str">
        <f>Vlookup(C1260,'Oil &amp; Gas Documents - Canada'!F:N,9,FALSE)</f>
        <v>#N/A</v>
      </c>
      <c r="F1260" s="1" t="s">
        <v>3822</v>
      </c>
      <c r="G1260" s="4" t="str">
        <f>HYPERLINK("http://nimonikapp.com/legislations/126409","http://nimonikapp.com/legislations/126409")</f>
        <v>http://nimonikapp.com/legislations/126409</v>
      </c>
      <c r="H1260" s="1" t="s">
        <v>18</v>
      </c>
      <c r="I1260" s="1" t="s">
        <v>3823</v>
      </c>
      <c r="J1260" s="1" t="s">
        <v>3824</v>
      </c>
      <c r="K1260" s="5">
        <v>44644.0</v>
      </c>
      <c r="L1260" s="5">
        <v>44643.0</v>
      </c>
      <c r="M1260" s="5">
        <v>44650.0</v>
      </c>
    </row>
    <row r="1261" hidden="1">
      <c r="A1261" s="1" t="s">
        <v>1105</v>
      </c>
      <c r="B1261" s="1" t="s">
        <v>364</v>
      </c>
      <c r="C1261" s="1" t="s">
        <v>3825</v>
      </c>
      <c r="D1261" s="1" t="str">
        <f>Vlookup(C1261,'Oil &amp; Gas Documents - Canada'!F:M,2,FALSE)</f>
        <v>#N/A</v>
      </c>
      <c r="E1261" s="1" t="str">
        <f>Vlookup(C1261,'Oil &amp; Gas Documents - Canada'!F:N,9,FALSE)</f>
        <v>#N/A</v>
      </c>
      <c r="F1261" s="1" t="s">
        <v>3826</v>
      </c>
      <c r="G1261" s="4" t="str">
        <f>HYPERLINK("http://nimonikapp.com/legislations/305840","http://nimonikapp.com/legislations/305840")</f>
        <v>http://nimonikapp.com/legislations/305840</v>
      </c>
      <c r="H1261" s="1" t="s">
        <v>356</v>
      </c>
      <c r="I1261" s="1" t="s">
        <v>3827</v>
      </c>
      <c r="J1261" s="1" t="s">
        <v>3828</v>
      </c>
      <c r="K1261" s="5">
        <v>44650.0</v>
      </c>
      <c r="L1261" s="5">
        <v>44652.0</v>
      </c>
      <c r="M1261" s="5">
        <v>44650.0</v>
      </c>
      <c r="N1261" s="1" t="s">
        <v>3829</v>
      </c>
    </row>
    <row r="1262" hidden="1">
      <c r="A1262" s="1" t="s">
        <v>70</v>
      </c>
      <c r="B1262" s="1" t="s">
        <v>25</v>
      </c>
      <c r="C1262" s="1" t="s">
        <v>3112</v>
      </c>
      <c r="D1262" s="1" t="str">
        <f>Vlookup(C1262,'Oil &amp; Gas Documents - Canada'!F:M,2,FALSE)</f>
        <v>#N/A</v>
      </c>
      <c r="E1262" s="1" t="str">
        <f>Vlookup(C1262,'Oil &amp; Gas Documents - Canada'!F:N,9,FALSE)</f>
        <v>#N/A</v>
      </c>
      <c r="F1262" s="1" t="s">
        <v>1328</v>
      </c>
      <c r="G1262" s="4" t="str">
        <f>HYPERLINK("http://nimonikapp.com/legislations/416","http://nimonikapp.com/legislations/416")</f>
        <v>http://nimonikapp.com/legislations/416</v>
      </c>
      <c r="H1262" s="1" t="s">
        <v>18</v>
      </c>
      <c r="I1262" s="1" t="s">
        <v>3830</v>
      </c>
      <c r="J1262" s="1" t="s">
        <v>3831</v>
      </c>
      <c r="K1262" s="5">
        <v>44646.0</v>
      </c>
      <c r="M1262" s="5">
        <v>44649.0</v>
      </c>
      <c r="N1262" s="1" t="s">
        <v>3115</v>
      </c>
    </row>
    <row r="1263" hidden="1">
      <c r="A1263" s="1" t="s">
        <v>70</v>
      </c>
      <c r="B1263" s="1" t="s">
        <v>25</v>
      </c>
      <c r="C1263" s="1" t="s">
        <v>3832</v>
      </c>
      <c r="D1263" s="1" t="str">
        <f>Vlookup(C1263,'Oil &amp; Gas Documents - Canada'!F:M,2,FALSE)</f>
        <v>#N/A</v>
      </c>
      <c r="E1263" s="1" t="str">
        <f>Vlookup(C1263,'Oil &amp; Gas Documents - Canada'!F:N,9,FALSE)</f>
        <v>#N/A</v>
      </c>
      <c r="F1263" s="1" t="s">
        <v>3070</v>
      </c>
      <c r="G1263" s="4" t="str">
        <f>HYPERLINK("http://nimonikapp.com/legislations/23","http://nimonikapp.com/legislations/23")</f>
        <v>http://nimonikapp.com/legislations/23</v>
      </c>
      <c r="H1263" s="1" t="s">
        <v>18</v>
      </c>
      <c r="I1263" s="1" t="s">
        <v>3833</v>
      </c>
      <c r="J1263" s="1" t="s">
        <v>3834</v>
      </c>
      <c r="K1263" s="5">
        <v>44646.0</v>
      </c>
      <c r="M1263" s="5">
        <v>44649.0</v>
      </c>
      <c r="N1263" s="1" t="s">
        <v>3835</v>
      </c>
    </row>
    <row r="1264" hidden="1">
      <c r="A1264" s="1" t="s">
        <v>70</v>
      </c>
      <c r="B1264" s="1" t="s">
        <v>25</v>
      </c>
      <c r="C1264" s="1" t="s">
        <v>1579</v>
      </c>
      <c r="D1264" s="1" t="str">
        <f>Vlookup(C1264,'Oil &amp; Gas Documents - Canada'!F:M,2,FALSE)</f>
        <v>#N/A</v>
      </c>
      <c r="E1264" s="1" t="str">
        <f>Vlookup(C1264,'Oil &amp; Gas Documents - Canada'!F:N,9,FALSE)</f>
        <v>#N/A</v>
      </c>
      <c r="F1264" s="1" t="s">
        <v>1580</v>
      </c>
      <c r="G1264" s="4" t="str">
        <f>HYPERLINK("http://nimonikapp.com/legislations/439","http://nimonikapp.com/legislations/439")</f>
        <v>http://nimonikapp.com/legislations/439</v>
      </c>
      <c r="H1264" s="1" t="s">
        <v>18</v>
      </c>
      <c r="I1264" s="1" t="s">
        <v>3836</v>
      </c>
      <c r="J1264" s="1" t="s">
        <v>3837</v>
      </c>
      <c r="K1264" s="5">
        <v>44646.0</v>
      </c>
      <c r="M1264" s="5">
        <v>44649.0</v>
      </c>
      <c r="N1264" s="1" t="s">
        <v>1583</v>
      </c>
    </row>
    <row r="1265" hidden="1">
      <c r="A1265" s="1" t="s">
        <v>70</v>
      </c>
      <c r="B1265" s="1" t="s">
        <v>25</v>
      </c>
      <c r="C1265" s="1" t="s">
        <v>3499</v>
      </c>
      <c r="D1265" s="1" t="str">
        <f>Vlookup(C1265,'Oil &amp; Gas Documents - Canada'!F:M,2,FALSE)</f>
        <v>#N/A</v>
      </c>
      <c r="E1265" s="1" t="str">
        <f>Vlookup(C1265,'Oil &amp; Gas Documents - Canada'!F:N,9,FALSE)</f>
        <v>#N/A</v>
      </c>
      <c r="F1265" s="1" t="s">
        <v>3500</v>
      </c>
      <c r="G1265" s="4" t="str">
        <f>HYPERLINK("http://nimonikapp.com/legislations/125","http://nimonikapp.com/legislations/125")</f>
        <v>http://nimonikapp.com/legislations/125</v>
      </c>
      <c r="H1265" s="1" t="s">
        <v>18</v>
      </c>
      <c r="I1265" s="1" t="s">
        <v>3836</v>
      </c>
      <c r="J1265" s="1" t="s">
        <v>3837</v>
      </c>
      <c r="K1265" s="5">
        <v>44646.0</v>
      </c>
      <c r="M1265" s="5">
        <v>44649.0</v>
      </c>
      <c r="N1265" s="1" t="s">
        <v>1810</v>
      </c>
    </row>
    <row r="1266" hidden="1">
      <c r="A1266" s="1" t="s">
        <v>70</v>
      </c>
      <c r="B1266" s="1" t="s">
        <v>25</v>
      </c>
      <c r="C1266" s="1" t="s">
        <v>3112</v>
      </c>
      <c r="D1266" s="1" t="str">
        <f>Vlookup(C1266,'Oil &amp; Gas Documents - Canada'!F:M,2,FALSE)</f>
        <v>#N/A</v>
      </c>
      <c r="E1266" s="1" t="str">
        <f>Vlookup(C1266,'Oil &amp; Gas Documents - Canada'!F:N,9,FALSE)</f>
        <v>#N/A</v>
      </c>
      <c r="F1266" s="1" t="s">
        <v>1328</v>
      </c>
      <c r="G1266" s="4" t="str">
        <f>HYPERLINK("http://nimonikapp.com/legislations/416","http://nimonikapp.com/legislations/416")</f>
        <v>http://nimonikapp.com/legislations/416</v>
      </c>
      <c r="H1266" s="1" t="s">
        <v>18</v>
      </c>
      <c r="I1266" s="1" t="s">
        <v>3838</v>
      </c>
      <c r="J1266" s="1" t="s">
        <v>3839</v>
      </c>
      <c r="K1266" s="5">
        <v>44646.0</v>
      </c>
      <c r="M1266" s="5">
        <v>44649.0</v>
      </c>
      <c r="N1266" s="1" t="s">
        <v>3115</v>
      </c>
    </row>
    <row r="1267" hidden="1">
      <c r="A1267" s="1" t="s">
        <v>70</v>
      </c>
      <c r="B1267" s="1" t="s">
        <v>25</v>
      </c>
      <c r="C1267" s="1" t="s">
        <v>3840</v>
      </c>
      <c r="D1267" s="1" t="str">
        <f>Vlookup(C1267,'Oil &amp; Gas Documents - Canada'!F:M,2,FALSE)</f>
        <v>#N/A</v>
      </c>
      <c r="E1267" s="1" t="str">
        <f>Vlookup(C1267,'Oil &amp; Gas Documents - Canada'!F:N,9,FALSE)</f>
        <v>#N/A</v>
      </c>
      <c r="F1267" s="1" t="s">
        <v>3042</v>
      </c>
      <c r="G1267" s="4" t="str">
        <f>HYPERLINK("http://nimonikapp.com/legislations/65","http://nimonikapp.com/legislations/65")</f>
        <v>http://nimonikapp.com/legislations/65</v>
      </c>
      <c r="H1267" s="1" t="s">
        <v>18</v>
      </c>
      <c r="I1267" s="1" t="s">
        <v>3841</v>
      </c>
      <c r="J1267" s="1" t="s">
        <v>3842</v>
      </c>
      <c r="K1267" s="5">
        <v>44646.0</v>
      </c>
      <c r="M1267" s="5">
        <v>44649.0</v>
      </c>
      <c r="N1267" s="1" t="s">
        <v>3843</v>
      </c>
    </row>
    <row r="1268" hidden="1">
      <c r="A1268" s="1" t="s">
        <v>70</v>
      </c>
      <c r="B1268" s="1" t="s">
        <v>25</v>
      </c>
      <c r="C1268" s="1" t="s">
        <v>3555</v>
      </c>
      <c r="D1268" s="1" t="str">
        <f>Vlookup(C1268,'Oil &amp; Gas Documents - Canada'!F:M,2,FALSE)</f>
        <v>#N/A</v>
      </c>
      <c r="E1268" s="1" t="str">
        <f>Vlookup(C1268,'Oil &amp; Gas Documents - Canada'!F:N,9,FALSE)</f>
        <v>#N/A</v>
      </c>
      <c r="F1268" s="1" t="s">
        <v>1533</v>
      </c>
      <c r="G1268" s="4" t="str">
        <f>HYPERLINK("http://nimonikapp.com/legislations/105","http://nimonikapp.com/legislations/105")</f>
        <v>http://nimonikapp.com/legislations/105</v>
      </c>
      <c r="H1268" s="1" t="s">
        <v>18</v>
      </c>
      <c r="I1268" s="1" t="s">
        <v>3844</v>
      </c>
      <c r="J1268" s="1" t="s">
        <v>3845</v>
      </c>
      <c r="K1268" s="5">
        <v>44646.0</v>
      </c>
      <c r="M1268" s="5">
        <v>44649.0</v>
      </c>
      <c r="N1268" s="1" t="s">
        <v>3558</v>
      </c>
    </row>
    <row r="1269" hidden="1">
      <c r="A1269" s="1" t="s">
        <v>14</v>
      </c>
      <c r="B1269" s="1" t="s">
        <v>15</v>
      </c>
      <c r="C1269" s="1" t="s">
        <v>3846</v>
      </c>
      <c r="D1269" s="1" t="str">
        <f>Vlookup(C1269,'Oil &amp; Gas Documents - Canada'!F:M,2,FALSE)</f>
        <v>#N/A</v>
      </c>
      <c r="E1269" s="1" t="str">
        <f>Vlookup(C1269,'Oil &amp; Gas Documents - Canada'!F:N,9,FALSE)</f>
        <v>#N/A</v>
      </c>
      <c r="F1269" s="1" t="s">
        <v>3847</v>
      </c>
      <c r="G1269" s="4" t="str">
        <f>HYPERLINK("http://nimonikapp.com/legislations/339756","http://nimonikapp.com/legislations/339756")</f>
        <v>http://nimonikapp.com/legislations/339756</v>
      </c>
      <c r="H1269" s="1" t="s">
        <v>516</v>
      </c>
      <c r="K1269" s="5">
        <v>44648.0</v>
      </c>
      <c r="M1269" s="5">
        <v>44648.0</v>
      </c>
    </row>
    <row r="1270" hidden="1">
      <c r="A1270" s="1" t="s">
        <v>99</v>
      </c>
      <c r="B1270" s="1" t="s">
        <v>15</v>
      </c>
      <c r="C1270" s="1" t="s">
        <v>3848</v>
      </c>
      <c r="D1270" s="1" t="str">
        <f>Vlookup(C1270,'Oil &amp; Gas Documents - Canada'!F:M,2,FALSE)</f>
        <v>#N/A</v>
      </c>
      <c r="E1270" s="1" t="str">
        <f>Vlookup(C1270,'Oil &amp; Gas Documents - Canada'!F:N,9,FALSE)</f>
        <v>#N/A</v>
      </c>
      <c r="F1270" s="1" t="s">
        <v>3849</v>
      </c>
      <c r="G1270" s="4" t="str">
        <f>HYPERLINK("http://nimonikapp.com/legislations/339799","http://nimonikapp.com/legislations/339799")</f>
        <v>http://nimonikapp.com/legislations/339799</v>
      </c>
      <c r="H1270" s="1" t="s">
        <v>18</v>
      </c>
      <c r="K1270" s="5">
        <v>44645.0</v>
      </c>
      <c r="L1270" s="5">
        <v>44645.0</v>
      </c>
      <c r="M1270" s="5">
        <v>44648.0</v>
      </c>
    </row>
    <row r="1271" hidden="1">
      <c r="A1271" s="1" t="s">
        <v>73</v>
      </c>
      <c r="B1271" s="1" t="s">
        <v>15</v>
      </c>
      <c r="C1271" s="1" t="s">
        <v>3850</v>
      </c>
      <c r="D1271" s="1" t="str">
        <f>Vlookup(C1271,'Oil &amp; Gas Documents - Canada'!F:M,2,FALSE)</f>
        <v>#N/A</v>
      </c>
      <c r="E1271" s="1" t="str">
        <f>Vlookup(C1271,'Oil &amp; Gas Documents - Canada'!F:N,9,FALSE)</f>
        <v>#N/A</v>
      </c>
      <c r="F1271" s="1" t="s">
        <v>3851</v>
      </c>
      <c r="G1271" s="4" t="str">
        <f>HYPERLINK("http://nimonikapp.com/legislations/339719","http://nimonikapp.com/legislations/339719")</f>
        <v>http://nimonikapp.com/legislations/339719</v>
      </c>
      <c r="H1271" s="1" t="s">
        <v>18</v>
      </c>
      <c r="K1271" s="5">
        <v>44646.0</v>
      </c>
      <c r="L1271" s="5">
        <v>44736.0</v>
      </c>
      <c r="M1271" s="5">
        <v>44648.0</v>
      </c>
    </row>
    <row r="1272" hidden="1">
      <c r="A1272" s="1" t="s">
        <v>73</v>
      </c>
      <c r="B1272" s="1" t="s">
        <v>15</v>
      </c>
      <c r="C1272" s="1" t="s">
        <v>3852</v>
      </c>
      <c r="D1272" s="1" t="str">
        <f>Vlookup(C1272,'Oil &amp; Gas Documents - Canada'!F:M,2,FALSE)</f>
        <v>#N/A</v>
      </c>
      <c r="E1272" s="1" t="str">
        <f>Vlookup(C1272,'Oil &amp; Gas Documents - Canada'!F:N,9,FALSE)</f>
        <v>#N/A</v>
      </c>
      <c r="F1272" s="1" t="s">
        <v>3853</v>
      </c>
      <c r="G1272" s="4" t="str">
        <f>HYPERLINK("http://nimonikapp.com/legislations/339683","http://nimonikapp.com/legislations/339683")</f>
        <v>http://nimonikapp.com/legislations/339683</v>
      </c>
      <c r="H1272" s="1" t="s">
        <v>516</v>
      </c>
      <c r="K1272" s="5">
        <v>44644.0</v>
      </c>
      <c r="M1272" s="5">
        <v>44648.0</v>
      </c>
    </row>
    <row r="1273">
      <c r="A1273" s="1" t="s">
        <v>73</v>
      </c>
      <c r="B1273" s="1" t="s">
        <v>15</v>
      </c>
      <c r="C1273" s="1" t="s">
        <v>594</v>
      </c>
      <c r="D1273" s="1" t="s">
        <v>26</v>
      </c>
      <c r="E1273" s="1" t="str">
        <f>Vlookup(C1273,'Oil &amp; Gas Documents - Canada'!F:N,9,FALSE)</f>
        <v>#N/A</v>
      </c>
      <c r="F1273" s="1" t="s">
        <v>593</v>
      </c>
      <c r="G1273" s="4" t="str">
        <f>HYPERLINK("http://nimonikapp.com/legislations/11747","http://nimonikapp.com/legislations/11747")</f>
        <v>http://nimonikapp.com/legislations/11747</v>
      </c>
      <c r="H1273" s="1" t="s">
        <v>18</v>
      </c>
      <c r="I1273" s="1" t="s">
        <v>596</v>
      </c>
      <c r="J1273" s="1" t="s">
        <v>597</v>
      </c>
      <c r="K1273" s="5">
        <v>44621.0</v>
      </c>
      <c r="L1273" s="5">
        <v>44621.0</v>
      </c>
      <c r="M1273" s="5">
        <v>44648.0</v>
      </c>
      <c r="N1273" s="1" t="s">
        <v>595</v>
      </c>
    </row>
    <row r="1274">
      <c r="A1274" s="1" t="s">
        <v>53</v>
      </c>
      <c r="B1274" s="1" t="s">
        <v>25</v>
      </c>
      <c r="C1274" s="1" t="s">
        <v>599</v>
      </c>
      <c r="D1274" s="1" t="s">
        <v>26</v>
      </c>
      <c r="E1274" s="1" t="str">
        <f>Vlookup(C1274,'Oil &amp; Gas Documents - Canada'!F:N,9,FALSE)</f>
        <v>#N/A</v>
      </c>
      <c r="F1274" s="1" t="s">
        <v>598</v>
      </c>
      <c r="G1274" s="4" t="str">
        <f>HYPERLINK("http://nimonikapp.com/legislations/3686","http://nimonikapp.com/legislations/3686")</f>
        <v>http://nimonikapp.com/legislations/3686</v>
      </c>
      <c r="H1274" s="1" t="s">
        <v>18</v>
      </c>
      <c r="I1274" s="1" t="s">
        <v>601</v>
      </c>
      <c r="J1274" s="1" t="s">
        <v>602</v>
      </c>
      <c r="K1274" s="5">
        <v>44645.0</v>
      </c>
      <c r="L1274" s="5">
        <v>44635.0</v>
      </c>
      <c r="M1274" s="5">
        <v>44648.0</v>
      </c>
      <c r="N1274" s="1" t="s">
        <v>600</v>
      </c>
    </row>
    <row r="1275" hidden="1">
      <c r="A1275" s="1" t="s">
        <v>53</v>
      </c>
      <c r="B1275" s="1" t="s">
        <v>352</v>
      </c>
      <c r="C1275" s="1" t="s">
        <v>3854</v>
      </c>
      <c r="D1275" s="1" t="str">
        <f>Vlookup(C1275,'Oil &amp; Gas Documents - Canada'!F:M,2,FALSE)</f>
        <v>#N/A</v>
      </c>
      <c r="E1275" s="1" t="str">
        <f>Vlookup(C1275,'Oil &amp; Gas Documents - Canada'!F:N,9,FALSE)</f>
        <v>#N/A</v>
      </c>
      <c r="F1275" s="1" t="s">
        <v>1352</v>
      </c>
      <c r="G1275" s="4" t="str">
        <f>HYPERLINK("http://nimonikapp.com/legislations/15589","http://nimonikapp.com/legislations/15589")</f>
        <v>http://nimonikapp.com/legislations/15589</v>
      </c>
      <c r="H1275" s="1" t="s">
        <v>356</v>
      </c>
      <c r="I1275" s="1" t="s">
        <v>3855</v>
      </c>
      <c r="J1275" s="1" t="s">
        <v>3856</v>
      </c>
      <c r="K1275" s="5">
        <v>44645.0</v>
      </c>
      <c r="L1275" s="5">
        <v>44635.0</v>
      </c>
      <c r="M1275" s="5">
        <v>44648.0</v>
      </c>
      <c r="N1275" s="1" t="s">
        <v>3857</v>
      </c>
    </row>
    <row r="1276" hidden="1">
      <c r="A1276" s="1" t="s">
        <v>53</v>
      </c>
      <c r="B1276" s="1" t="s">
        <v>25</v>
      </c>
      <c r="C1276" s="1" t="s">
        <v>3858</v>
      </c>
      <c r="D1276" s="1" t="str">
        <f>Vlookup(C1276,'Oil &amp; Gas Documents - Canada'!F:M,2,FALSE)</f>
        <v>#N/A</v>
      </c>
      <c r="E1276" s="1" t="str">
        <f>Vlookup(C1276,'Oil &amp; Gas Documents - Canada'!F:N,9,FALSE)</f>
        <v>#N/A</v>
      </c>
      <c r="F1276" s="1" t="s">
        <v>3859</v>
      </c>
      <c r="G1276" s="4" t="str">
        <f>HYPERLINK("http://nimonikapp.com/legislations/4019","http://nimonikapp.com/legislations/4019")</f>
        <v>http://nimonikapp.com/legislations/4019</v>
      </c>
      <c r="H1276" s="1" t="s">
        <v>18</v>
      </c>
      <c r="I1276" s="1" t="s">
        <v>3860</v>
      </c>
      <c r="J1276" s="1" t="s">
        <v>3861</v>
      </c>
      <c r="K1276" s="5">
        <v>44645.0</v>
      </c>
      <c r="L1276" s="5">
        <v>44635.0</v>
      </c>
      <c r="M1276" s="5">
        <v>44648.0</v>
      </c>
      <c r="N1276" s="1" t="s">
        <v>3862</v>
      </c>
    </row>
    <row r="1277" hidden="1">
      <c r="A1277" s="1" t="s">
        <v>53</v>
      </c>
      <c r="B1277" s="1" t="s">
        <v>25</v>
      </c>
      <c r="C1277" s="1" t="s">
        <v>3863</v>
      </c>
      <c r="D1277" s="1" t="str">
        <f>Vlookup(C1277,'Oil &amp; Gas Documents - Canada'!F:M,2,FALSE)</f>
        <v>#N/A</v>
      </c>
      <c r="E1277" s="1" t="str">
        <f>Vlookup(C1277,'Oil &amp; Gas Documents - Canada'!F:N,9,FALSE)</f>
        <v>#N/A</v>
      </c>
      <c r="F1277" s="1" t="s">
        <v>3864</v>
      </c>
      <c r="G1277" s="4" t="str">
        <f>HYPERLINK("http://nimonikapp.com/legislations/15588","http://nimonikapp.com/legislations/15588")</f>
        <v>http://nimonikapp.com/legislations/15588</v>
      </c>
      <c r="H1277" s="1" t="s">
        <v>18</v>
      </c>
      <c r="I1277" s="1" t="s">
        <v>3865</v>
      </c>
      <c r="J1277" s="1" t="s">
        <v>3866</v>
      </c>
      <c r="K1277" s="5">
        <v>44645.0</v>
      </c>
      <c r="L1277" s="5">
        <v>44635.0</v>
      </c>
      <c r="M1277" s="5">
        <v>44648.0</v>
      </c>
      <c r="N1277" s="1" t="s">
        <v>3867</v>
      </c>
    </row>
    <row r="1278">
      <c r="A1278" s="1" t="s">
        <v>73</v>
      </c>
      <c r="B1278" s="1" t="s">
        <v>25</v>
      </c>
      <c r="C1278" s="1" t="s">
        <v>604</v>
      </c>
      <c r="D1278" s="1" t="s">
        <v>26</v>
      </c>
      <c r="E1278" s="1" t="str">
        <f>Vlookup(C1278,'Oil &amp; Gas Documents - Canada'!F:N,9,FALSE)</f>
        <v>#N/A</v>
      </c>
      <c r="F1278" s="1" t="s">
        <v>603</v>
      </c>
      <c r="G1278" s="4" t="str">
        <f>HYPERLINK("http://nimonikapp.com/legislations/422","http://nimonikapp.com/legislations/422")</f>
        <v>http://nimonikapp.com/legislations/422</v>
      </c>
      <c r="H1278" s="1" t="s">
        <v>18</v>
      </c>
      <c r="I1278" s="1" t="s">
        <v>606</v>
      </c>
      <c r="J1278" s="1" t="s">
        <v>607</v>
      </c>
      <c r="K1278" s="5">
        <v>44646.0</v>
      </c>
      <c r="M1278" s="5">
        <v>44648.0</v>
      </c>
      <c r="N1278" s="1" t="s">
        <v>605</v>
      </c>
    </row>
    <row r="1279" hidden="1">
      <c r="A1279" s="1" t="s">
        <v>73</v>
      </c>
      <c r="B1279" s="1" t="s">
        <v>364</v>
      </c>
      <c r="C1279" s="1" t="s">
        <v>3868</v>
      </c>
      <c r="D1279" s="1" t="str">
        <f>Vlookup(C1279,'Oil &amp; Gas Documents - Canada'!F:M,2,FALSE)</f>
        <v>#N/A</v>
      </c>
      <c r="E1279" s="1" t="str">
        <f>Vlookup(C1279,'Oil &amp; Gas Documents - Canada'!F:N,9,FALSE)</f>
        <v>#N/A</v>
      </c>
      <c r="F1279" s="1" t="s">
        <v>3869</v>
      </c>
      <c r="G1279" s="4" t="str">
        <f>HYPERLINK("http://nimonikapp.com/legislations/339024","http://nimonikapp.com/legislations/339024")</f>
        <v>http://nimonikapp.com/legislations/339024</v>
      </c>
      <c r="H1279" s="1" t="s">
        <v>356</v>
      </c>
      <c r="I1279" s="1" t="s">
        <v>3724</v>
      </c>
      <c r="J1279" s="1" t="s">
        <v>3725</v>
      </c>
      <c r="K1279" s="5">
        <v>44646.0</v>
      </c>
      <c r="L1279" s="5">
        <v>44631.0</v>
      </c>
      <c r="M1279" s="5">
        <v>44648.0</v>
      </c>
      <c r="N1279" s="1" t="s">
        <v>3870</v>
      </c>
    </row>
    <row r="1280" hidden="1">
      <c r="A1280" s="1" t="s">
        <v>202</v>
      </c>
      <c r="B1280" s="1" t="s">
        <v>25</v>
      </c>
      <c r="C1280" s="1" t="s">
        <v>3871</v>
      </c>
      <c r="D1280" s="1" t="str">
        <f>Vlookup(C1280,'Oil &amp; Gas Documents - Canada'!F:M,2,FALSE)</f>
        <v>#N/A</v>
      </c>
      <c r="E1280" s="1" t="str">
        <f>Vlookup(C1280,'Oil &amp; Gas Documents - Canada'!F:N,9,FALSE)</f>
        <v>#N/A</v>
      </c>
      <c r="F1280" s="1" t="s">
        <v>3872</v>
      </c>
      <c r="G1280" s="4" t="str">
        <f>HYPERLINK("http://nimonikapp.com/legislations/270134","http://nimonikapp.com/legislations/270134")</f>
        <v>http://nimonikapp.com/legislations/270134</v>
      </c>
      <c r="H1280" s="1" t="s">
        <v>18</v>
      </c>
      <c r="I1280" s="1" t="s">
        <v>3873</v>
      </c>
      <c r="J1280" s="1" t="s">
        <v>3874</v>
      </c>
      <c r="K1280" s="5">
        <v>44645.0</v>
      </c>
      <c r="L1280" s="5">
        <v>44660.0</v>
      </c>
      <c r="M1280" s="5">
        <v>44648.0</v>
      </c>
      <c r="N1280" s="1" t="s">
        <v>3875</v>
      </c>
    </row>
    <row r="1281" hidden="1">
      <c r="A1281" s="1" t="s">
        <v>73</v>
      </c>
      <c r="B1281" s="1" t="s">
        <v>25</v>
      </c>
      <c r="C1281" s="1" t="s">
        <v>3876</v>
      </c>
      <c r="D1281" s="1" t="str">
        <f>Vlookup(C1281,'Oil &amp; Gas Documents - Canada'!F:M,2,FALSE)</f>
        <v>#N/A</v>
      </c>
      <c r="E1281" s="1" t="str">
        <f>Vlookup(C1281,'Oil &amp; Gas Documents - Canada'!F:N,9,FALSE)</f>
        <v>#N/A</v>
      </c>
      <c r="F1281" s="1" t="s">
        <v>3877</v>
      </c>
      <c r="G1281" s="4" t="str">
        <f>HYPERLINK("http://nimonikapp.com/legislations/322016","http://nimonikapp.com/legislations/322016")</f>
        <v>http://nimonikapp.com/legislations/322016</v>
      </c>
      <c r="H1281" s="1" t="s">
        <v>18</v>
      </c>
      <c r="I1281" s="1" t="s">
        <v>3878</v>
      </c>
      <c r="J1281" s="1" t="s">
        <v>3879</v>
      </c>
      <c r="K1281" s="5">
        <v>44636.0</v>
      </c>
      <c r="L1281" s="5">
        <v>44624.0</v>
      </c>
      <c r="M1281" s="5">
        <v>44648.0</v>
      </c>
      <c r="N1281" s="1" t="s">
        <v>3880</v>
      </c>
    </row>
    <row r="1282" hidden="1">
      <c r="A1282" s="1" t="s">
        <v>73</v>
      </c>
      <c r="B1282" s="1" t="s">
        <v>25</v>
      </c>
      <c r="C1282" s="1" t="s">
        <v>2579</v>
      </c>
      <c r="D1282" s="1" t="str">
        <f>Vlookup(C1282,'Oil &amp; Gas Documents - Canada'!F:M,2,FALSE)</f>
        <v>#N/A</v>
      </c>
      <c r="E1282" s="1" t="str">
        <f>Vlookup(C1282,'Oil &amp; Gas Documents - Canada'!F:N,9,FALSE)</f>
        <v>#N/A</v>
      </c>
      <c r="F1282" s="1" t="s">
        <v>2580</v>
      </c>
      <c r="G1282" s="4" t="str">
        <f>HYPERLINK("http://nimonikapp.com/legislations/321873","http://nimonikapp.com/legislations/321873")</f>
        <v>http://nimonikapp.com/legislations/321873</v>
      </c>
      <c r="H1282" s="1" t="s">
        <v>18</v>
      </c>
      <c r="I1282" s="1" t="s">
        <v>3878</v>
      </c>
      <c r="J1282" s="1" t="s">
        <v>3879</v>
      </c>
      <c r="K1282" s="5">
        <v>44636.0</v>
      </c>
      <c r="L1282" s="5">
        <v>44624.0</v>
      </c>
      <c r="M1282" s="5">
        <v>44648.0</v>
      </c>
      <c r="N1282" s="1" t="s">
        <v>2583</v>
      </c>
    </row>
    <row r="1283" hidden="1">
      <c r="A1283" s="1" t="s">
        <v>73</v>
      </c>
      <c r="B1283" s="1" t="s">
        <v>25</v>
      </c>
      <c r="C1283" s="1" t="s">
        <v>3881</v>
      </c>
      <c r="D1283" s="1" t="str">
        <f>Vlookup(C1283,'Oil &amp; Gas Documents - Canada'!F:M,2,FALSE)</f>
        <v>#N/A</v>
      </c>
      <c r="E1283" s="1" t="str">
        <f>Vlookup(C1283,'Oil &amp; Gas Documents - Canada'!F:N,9,FALSE)</f>
        <v>#N/A</v>
      </c>
      <c r="F1283" s="1" t="s">
        <v>3882</v>
      </c>
      <c r="G1283" s="4" t="str">
        <f>HYPERLINK("http://nimonikapp.com/legislations/321815","http://nimonikapp.com/legislations/321815")</f>
        <v>http://nimonikapp.com/legislations/321815</v>
      </c>
      <c r="H1283" s="1" t="s">
        <v>18</v>
      </c>
      <c r="I1283" s="1" t="s">
        <v>3878</v>
      </c>
      <c r="J1283" s="1" t="s">
        <v>3879</v>
      </c>
      <c r="K1283" s="5">
        <v>44636.0</v>
      </c>
      <c r="L1283" s="5">
        <v>44624.0</v>
      </c>
      <c r="M1283" s="5">
        <v>44648.0</v>
      </c>
      <c r="N1283" s="1" t="s">
        <v>3880</v>
      </c>
    </row>
    <row r="1284" hidden="1">
      <c r="A1284" s="1" t="s">
        <v>73</v>
      </c>
      <c r="B1284" s="1" t="s">
        <v>25</v>
      </c>
      <c r="C1284" s="1" t="s">
        <v>3883</v>
      </c>
      <c r="D1284" s="1" t="str">
        <f>Vlookup(C1284,'Oil &amp; Gas Documents - Canada'!F:M,2,FALSE)</f>
        <v>#N/A</v>
      </c>
      <c r="E1284" s="1" t="str">
        <f>Vlookup(C1284,'Oil &amp; Gas Documents - Canada'!F:N,9,FALSE)</f>
        <v>#N/A</v>
      </c>
      <c r="F1284" s="1" t="s">
        <v>3884</v>
      </c>
      <c r="G1284" s="4" t="str">
        <f>HYPERLINK("http://nimonikapp.com/legislations/321645","http://nimonikapp.com/legislations/321645")</f>
        <v>http://nimonikapp.com/legislations/321645</v>
      </c>
      <c r="H1284" s="1" t="s">
        <v>18</v>
      </c>
      <c r="I1284" s="1" t="s">
        <v>3885</v>
      </c>
      <c r="J1284" s="1" t="s">
        <v>3886</v>
      </c>
      <c r="K1284" s="5">
        <v>44636.0</v>
      </c>
      <c r="L1284" s="5">
        <v>44804.0</v>
      </c>
      <c r="M1284" s="5">
        <v>44648.0</v>
      </c>
      <c r="N1284" s="1" t="s">
        <v>3887</v>
      </c>
    </row>
    <row r="1285" hidden="1">
      <c r="A1285" s="1" t="s">
        <v>73</v>
      </c>
      <c r="B1285" s="1" t="s">
        <v>25</v>
      </c>
      <c r="C1285" s="1" t="s">
        <v>3888</v>
      </c>
      <c r="D1285" s="1" t="str">
        <f>Vlookup(C1285,'Oil &amp; Gas Documents - Canada'!F:M,2,FALSE)</f>
        <v>#N/A</v>
      </c>
      <c r="E1285" s="1" t="str">
        <f>Vlookup(C1285,'Oil &amp; Gas Documents - Canada'!F:N,9,FALSE)</f>
        <v>#N/A</v>
      </c>
      <c r="F1285" s="1" t="s">
        <v>3889</v>
      </c>
      <c r="G1285" s="4" t="str">
        <f>HYPERLINK("http://nimonikapp.com/legislations/321642","http://nimonikapp.com/legislations/321642")</f>
        <v>http://nimonikapp.com/legislations/321642</v>
      </c>
      <c r="H1285" s="1" t="s">
        <v>18</v>
      </c>
      <c r="I1285" s="1" t="s">
        <v>3885</v>
      </c>
      <c r="J1285" s="1" t="s">
        <v>3886</v>
      </c>
      <c r="K1285" s="5">
        <v>44636.0</v>
      </c>
      <c r="L1285" s="5">
        <v>44804.0</v>
      </c>
      <c r="M1285" s="5">
        <v>44648.0</v>
      </c>
      <c r="N1285" s="1" t="s">
        <v>3887</v>
      </c>
    </row>
    <row r="1286" hidden="1">
      <c r="A1286" s="1" t="s">
        <v>73</v>
      </c>
      <c r="B1286" s="1" t="s">
        <v>25</v>
      </c>
      <c r="C1286" s="1" t="s">
        <v>3890</v>
      </c>
      <c r="D1286" s="1" t="str">
        <f>Vlookup(C1286,'Oil &amp; Gas Documents - Canada'!F:M,2,FALSE)</f>
        <v>#N/A</v>
      </c>
      <c r="E1286" s="1" t="str">
        <f>Vlookup(C1286,'Oil &amp; Gas Documents - Canada'!F:N,9,FALSE)</f>
        <v>#N/A</v>
      </c>
      <c r="F1286" s="1" t="s">
        <v>3891</v>
      </c>
      <c r="G1286" s="4" t="str">
        <f>HYPERLINK("http://nimonikapp.com/legislations/321641","http://nimonikapp.com/legislations/321641")</f>
        <v>http://nimonikapp.com/legislations/321641</v>
      </c>
      <c r="H1286" s="1" t="s">
        <v>18</v>
      </c>
      <c r="I1286" s="1" t="s">
        <v>3885</v>
      </c>
      <c r="J1286" s="1" t="s">
        <v>3886</v>
      </c>
      <c r="K1286" s="5">
        <v>44636.0</v>
      </c>
      <c r="L1286" s="5">
        <v>44804.0</v>
      </c>
      <c r="M1286" s="5">
        <v>44648.0</v>
      </c>
      <c r="N1286" s="1" t="s">
        <v>3887</v>
      </c>
    </row>
    <row r="1287" hidden="1">
      <c r="A1287" s="1" t="s">
        <v>73</v>
      </c>
      <c r="B1287" s="1" t="s">
        <v>25</v>
      </c>
      <c r="C1287" s="1" t="s">
        <v>1045</v>
      </c>
      <c r="D1287" s="1" t="str">
        <f>Vlookup(C1287,'Oil &amp; Gas Documents - Canada'!F:M,2,FALSE)</f>
        <v>#N/A</v>
      </c>
      <c r="E1287" s="1" t="str">
        <f>Vlookup(C1287,'Oil &amp; Gas Documents - Canada'!F:N,9,FALSE)</f>
        <v>#N/A</v>
      </c>
      <c r="F1287" s="1" t="s">
        <v>1046</v>
      </c>
      <c r="G1287" s="4" t="str">
        <f>HYPERLINK("http://nimonikapp.com/legislations/321966","http://nimonikapp.com/legislations/321966")</f>
        <v>http://nimonikapp.com/legislations/321966</v>
      </c>
      <c r="H1287" s="1" t="s">
        <v>18</v>
      </c>
      <c r="I1287" s="1" t="s">
        <v>3892</v>
      </c>
      <c r="J1287" s="1" t="s">
        <v>1048</v>
      </c>
      <c r="K1287" s="5">
        <v>44636.0</v>
      </c>
      <c r="L1287" s="5">
        <v>44616.0</v>
      </c>
      <c r="M1287" s="5">
        <v>44648.0</v>
      </c>
      <c r="N1287" s="1" t="s">
        <v>1049</v>
      </c>
    </row>
    <row r="1288">
      <c r="A1288" s="1" t="s">
        <v>99</v>
      </c>
      <c r="B1288" s="1" t="s">
        <v>25</v>
      </c>
      <c r="C1288" s="1" t="s">
        <v>609</v>
      </c>
      <c r="D1288" s="1" t="str">
        <f>Vlookup(C1288,'Oil &amp; Gas Documents - Canada'!F:M,2,FALSE)</f>
        <v>oil_and_gas, mining_and_minerals_industry</v>
      </c>
      <c r="E1288" s="1" t="str">
        <f>Vlookup(C1288,'Oil &amp; Gas Documents - Canada'!F:N,9,FALSE)</f>
        <v/>
      </c>
      <c r="F1288" s="1" t="s">
        <v>608</v>
      </c>
      <c r="G1288" s="4" t="str">
        <f>HYPERLINK("http://nimonikapp.com/legislations/3594","http://nimonikapp.com/legislations/3594")</f>
        <v>http://nimonikapp.com/legislations/3594</v>
      </c>
      <c r="H1288" s="1" t="s">
        <v>18</v>
      </c>
      <c r="I1288" s="1" t="s">
        <v>611</v>
      </c>
      <c r="J1288" s="1" t="s">
        <v>612</v>
      </c>
      <c r="K1288" s="5">
        <v>44645.0</v>
      </c>
      <c r="L1288" s="5">
        <v>44645.0</v>
      </c>
      <c r="M1288" s="5">
        <v>44648.0</v>
      </c>
      <c r="N1288" s="1" t="s">
        <v>610</v>
      </c>
    </row>
    <row r="1289" hidden="1">
      <c r="A1289" s="1" t="s">
        <v>73</v>
      </c>
      <c r="B1289" s="1" t="s">
        <v>25</v>
      </c>
      <c r="C1289" s="1" t="s">
        <v>1045</v>
      </c>
      <c r="D1289" s="1" t="str">
        <f>Vlookup(C1289,'Oil &amp; Gas Documents - Canada'!F:M,2,FALSE)</f>
        <v>#N/A</v>
      </c>
      <c r="E1289" s="1" t="str">
        <f>Vlookup(C1289,'Oil &amp; Gas Documents - Canada'!F:N,9,FALSE)</f>
        <v>#N/A</v>
      </c>
      <c r="F1289" s="1" t="s">
        <v>1046</v>
      </c>
      <c r="G1289" s="4" t="str">
        <f t="shared" ref="G1289:G1294" si="28">HYPERLINK("http://nimonikapp.com/legislations/321966","http://nimonikapp.com/legislations/321966")</f>
        <v>http://nimonikapp.com/legislations/321966</v>
      </c>
      <c r="H1289" s="1" t="s">
        <v>18</v>
      </c>
      <c r="I1289" s="1" t="s">
        <v>3893</v>
      </c>
      <c r="J1289" s="1" t="s">
        <v>1048</v>
      </c>
      <c r="K1289" s="5">
        <v>44636.0</v>
      </c>
      <c r="L1289" s="5">
        <v>44620.0</v>
      </c>
      <c r="M1289" s="5">
        <v>44648.0</v>
      </c>
      <c r="N1289" s="1" t="s">
        <v>1049</v>
      </c>
    </row>
    <row r="1290" hidden="1">
      <c r="A1290" s="1" t="s">
        <v>73</v>
      </c>
      <c r="B1290" s="1" t="s">
        <v>25</v>
      </c>
      <c r="C1290" s="1" t="s">
        <v>1045</v>
      </c>
      <c r="D1290" s="1" t="str">
        <f>Vlookup(C1290,'Oil &amp; Gas Documents - Canada'!F:M,2,FALSE)</f>
        <v>#N/A</v>
      </c>
      <c r="E1290" s="1" t="str">
        <f>Vlookup(C1290,'Oil &amp; Gas Documents - Canada'!F:N,9,FALSE)</f>
        <v>#N/A</v>
      </c>
      <c r="F1290" s="1" t="s">
        <v>1046</v>
      </c>
      <c r="G1290" s="4" t="str">
        <f t="shared" si="28"/>
        <v>http://nimonikapp.com/legislations/321966</v>
      </c>
      <c r="H1290" s="1" t="s">
        <v>18</v>
      </c>
      <c r="I1290" s="1" t="s">
        <v>3894</v>
      </c>
      <c r="J1290" s="1" t="s">
        <v>1048</v>
      </c>
      <c r="K1290" s="5">
        <v>44636.0</v>
      </c>
      <c r="L1290" s="5">
        <v>44616.0</v>
      </c>
      <c r="M1290" s="5">
        <v>44648.0</v>
      </c>
      <c r="N1290" s="1" t="s">
        <v>1049</v>
      </c>
    </row>
    <row r="1291" hidden="1">
      <c r="A1291" s="1" t="s">
        <v>73</v>
      </c>
      <c r="B1291" s="1" t="s">
        <v>25</v>
      </c>
      <c r="C1291" s="1" t="s">
        <v>1045</v>
      </c>
      <c r="D1291" s="1" t="str">
        <f>Vlookup(C1291,'Oil &amp; Gas Documents - Canada'!F:M,2,FALSE)</f>
        <v>#N/A</v>
      </c>
      <c r="E1291" s="1" t="str">
        <f>Vlookup(C1291,'Oil &amp; Gas Documents - Canada'!F:N,9,FALSE)</f>
        <v>#N/A</v>
      </c>
      <c r="F1291" s="1" t="s">
        <v>1046</v>
      </c>
      <c r="G1291" s="4" t="str">
        <f t="shared" si="28"/>
        <v>http://nimonikapp.com/legislations/321966</v>
      </c>
      <c r="H1291" s="1" t="s">
        <v>18</v>
      </c>
      <c r="I1291" s="1" t="s">
        <v>3895</v>
      </c>
      <c r="J1291" s="1" t="s">
        <v>1048</v>
      </c>
      <c r="K1291" s="5">
        <v>44636.0</v>
      </c>
      <c r="L1291" s="5">
        <v>44624.0</v>
      </c>
      <c r="M1291" s="5">
        <v>44648.0</v>
      </c>
      <c r="N1291" s="1" t="s">
        <v>1049</v>
      </c>
    </row>
    <row r="1292" hidden="1">
      <c r="A1292" s="1" t="s">
        <v>73</v>
      </c>
      <c r="B1292" s="1" t="s">
        <v>25</v>
      </c>
      <c r="C1292" s="1" t="s">
        <v>1045</v>
      </c>
      <c r="D1292" s="1" t="str">
        <f>Vlookup(C1292,'Oil &amp; Gas Documents - Canada'!F:M,2,FALSE)</f>
        <v>#N/A</v>
      </c>
      <c r="E1292" s="1" t="str">
        <f>Vlookup(C1292,'Oil &amp; Gas Documents - Canada'!F:N,9,FALSE)</f>
        <v>#N/A</v>
      </c>
      <c r="F1292" s="1" t="s">
        <v>1046</v>
      </c>
      <c r="G1292" s="4" t="str">
        <f t="shared" si="28"/>
        <v>http://nimonikapp.com/legislations/321966</v>
      </c>
      <c r="H1292" s="1" t="s">
        <v>18</v>
      </c>
      <c r="I1292" s="1" t="s">
        <v>3896</v>
      </c>
      <c r="J1292" s="1" t="s">
        <v>1048</v>
      </c>
      <c r="K1292" s="5">
        <v>44636.0</v>
      </c>
      <c r="L1292" s="5">
        <v>44620.0</v>
      </c>
      <c r="M1292" s="5">
        <v>44648.0</v>
      </c>
      <c r="N1292" s="1" t="s">
        <v>1049</v>
      </c>
    </row>
    <row r="1293" hidden="1">
      <c r="A1293" s="1" t="s">
        <v>73</v>
      </c>
      <c r="B1293" s="1" t="s">
        <v>25</v>
      </c>
      <c r="C1293" s="1" t="s">
        <v>1045</v>
      </c>
      <c r="D1293" s="1" t="str">
        <f>Vlookup(C1293,'Oil &amp; Gas Documents - Canada'!F:M,2,FALSE)</f>
        <v>#N/A</v>
      </c>
      <c r="E1293" s="1" t="str">
        <f>Vlookup(C1293,'Oil &amp; Gas Documents - Canada'!F:N,9,FALSE)</f>
        <v>#N/A</v>
      </c>
      <c r="F1293" s="1" t="s">
        <v>1046</v>
      </c>
      <c r="G1293" s="4" t="str">
        <f t="shared" si="28"/>
        <v>http://nimonikapp.com/legislations/321966</v>
      </c>
      <c r="H1293" s="1" t="s">
        <v>18</v>
      </c>
      <c r="I1293" s="1" t="s">
        <v>3897</v>
      </c>
      <c r="J1293" s="1" t="s">
        <v>1048</v>
      </c>
      <c r="K1293" s="5">
        <v>44636.0</v>
      </c>
      <c r="L1293" s="5">
        <v>44626.0</v>
      </c>
      <c r="M1293" s="5">
        <v>44648.0</v>
      </c>
      <c r="N1293" s="1" t="s">
        <v>1049</v>
      </c>
    </row>
    <row r="1294" hidden="1">
      <c r="A1294" s="1" t="s">
        <v>73</v>
      </c>
      <c r="B1294" s="1" t="s">
        <v>25</v>
      </c>
      <c r="C1294" s="1" t="s">
        <v>1045</v>
      </c>
      <c r="D1294" s="1" t="str">
        <f>Vlookup(C1294,'Oil &amp; Gas Documents - Canada'!F:M,2,FALSE)</f>
        <v>#N/A</v>
      </c>
      <c r="E1294" s="1" t="str">
        <f>Vlookup(C1294,'Oil &amp; Gas Documents - Canada'!F:N,9,FALSE)</f>
        <v>#N/A</v>
      </c>
      <c r="F1294" s="1" t="s">
        <v>1046</v>
      </c>
      <c r="G1294" s="4" t="str">
        <f t="shared" si="28"/>
        <v>http://nimonikapp.com/legislations/321966</v>
      </c>
      <c r="H1294" s="1" t="s">
        <v>18</v>
      </c>
      <c r="I1294" s="1" t="s">
        <v>3898</v>
      </c>
      <c r="J1294" s="1" t="s">
        <v>1048</v>
      </c>
      <c r="K1294" s="5">
        <v>44636.0</v>
      </c>
      <c r="L1294" s="5">
        <v>44626.0</v>
      </c>
      <c r="M1294" s="5">
        <v>44648.0</v>
      </c>
      <c r="N1294" s="1" t="s">
        <v>1049</v>
      </c>
    </row>
    <row r="1295" hidden="1">
      <c r="A1295" s="1" t="s">
        <v>73</v>
      </c>
      <c r="B1295" s="1" t="s">
        <v>25</v>
      </c>
      <c r="C1295" s="1" t="s">
        <v>1709</v>
      </c>
      <c r="D1295" s="1" t="str">
        <f>Vlookup(C1295,'Oil &amp; Gas Documents - Canada'!F:M,2,FALSE)</f>
        <v>#N/A</v>
      </c>
      <c r="E1295" s="1" t="str">
        <f>Vlookup(C1295,'Oil &amp; Gas Documents - Canada'!F:N,9,FALSE)</f>
        <v>#N/A</v>
      </c>
      <c r="F1295" s="1" t="s">
        <v>1710</v>
      </c>
      <c r="G1295" s="4" t="str">
        <f t="shared" ref="G1295:G1296" si="29">HYPERLINK("http://nimonikapp.com/legislations/321972","http://nimonikapp.com/legislations/321972")</f>
        <v>http://nimonikapp.com/legislations/321972</v>
      </c>
      <c r="H1295" s="1" t="s">
        <v>18</v>
      </c>
      <c r="I1295" s="1" t="s">
        <v>3899</v>
      </c>
      <c r="J1295" s="1" t="s">
        <v>1712</v>
      </c>
      <c r="K1295" s="5">
        <v>44636.0</v>
      </c>
      <c r="L1295" s="5">
        <v>44616.0</v>
      </c>
      <c r="M1295" s="5">
        <v>44648.0</v>
      </c>
      <c r="N1295" s="1" t="s">
        <v>1713</v>
      </c>
    </row>
    <row r="1296" hidden="1">
      <c r="A1296" s="1" t="s">
        <v>73</v>
      </c>
      <c r="B1296" s="1" t="s">
        <v>25</v>
      </c>
      <c r="C1296" s="1" t="s">
        <v>1709</v>
      </c>
      <c r="D1296" s="1" t="str">
        <f>Vlookup(C1296,'Oil &amp; Gas Documents - Canada'!F:M,2,FALSE)</f>
        <v>#N/A</v>
      </c>
      <c r="E1296" s="1" t="str">
        <f>Vlookup(C1296,'Oil &amp; Gas Documents - Canada'!F:N,9,FALSE)</f>
        <v>#N/A</v>
      </c>
      <c r="F1296" s="1" t="s">
        <v>1710</v>
      </c>
      <c r="G1296" s="4" t="str">
        <f t="shared" si="29"/>
        <v>http://nimonikapp.com/legislations/321972</v>
      </c>
      <c r="H1296" s="1" t="s">
        <v>18</v>
      </c>
      <c r="I1296" s="1" t="s">
        <v>3900</v>
      </c>
      <c r="J1296" s="1" t="s">
        <v>1712</v>
      </c>
      <c r="K1296" s="5">
        <v>44636.0</v>
      </c>
      <c r="L1296" s="5">
        <v>44616.0</v>
      </c>
      <c r="M1296" s="5">
        <v>44648.0</v>
      </c>
      <c r="N1296" s="1" t="s">
        <v>1713</v>
      </c>
    </row>
    <row r="1297" hidden="1">
      <c r="A1297" s="1" t="s">
        <v>73</v>
      </c>
      <c r="B1297" s="1" t="s">
        <v>25</v>
      </c>
      <c r="C1297" s="1" t="s">
        <v>2206</v>
      </c>
      <c r="D1297" s="1" t="str">
        <f>Vlookup(C1297,'Oil &amp; Gas Documents - Canada'!F:M,2,FALSE)</f>
        <v>#N/A</v>
      </c>
      <c r="E1297" s="1" t="str">
        <f>Vlookup(C1297,'Oil &amp; Gas Documents - Canada'!F:N,9,FALSE)</f>
        <v>#N/A</v>
      </c>
      <c r="F1297" s="1" t="s">
        <v>2207</v>
      </c>
      <c r="G1297" s="4" t="str">
        <f>HYPERLINK("http://nimonikapp.com/legislations/140502","http://nimonikapp.com/legislations/140502")</f>
        <v>http://nimonikapp.com/legislations/140502</v>
      </c>
      <c r="H1297" s="1" t="s">
        <v>18</v>
      </c>
      <c r="I1297" s="1" t="s">
        <v>3901</v>
      </c>
      <c r="J1297" s="1" t="s">
        <v>3613</v>
      </c>
      <c r="K1297" s="5">
        <v>44636.0</v>
      </c>
      <c r="L1297" s="5">
        <v>44624.0</v>
      </c>
      <c r="M1297" s="5">
        <v>44648.0</v>
      </c>
      <c r="N1297" s="1" t="s">
        <v>2210</v>
      </c>
    </row>
    <row r="1298" hidden="1">
      <c r="A1298" s="1" t="s">
        <v>73</v>
      </c>
      <c r="B1298" s="1" t="s">
        <v>25</v>
      </c>
      <c r="C1298" s="1" t="s">
        <v>1435</v>
      </c>
      <c r="D1298" s="1" t="str">
        <f>Vlookup(C1298,'Oil &amp; Gas Documents - Canada'!F:M,2,FALSE)</f>
        <v>#N/A</v>
      </c>
      <c r="E1298" s="1" t="str">
        <f>Vlookup(C1298,'Oil &amp; Gas Documents - Canada'!F:N,9,FALSE)</f>
        <v>#N/A</v>
      </c>
      <c r="F1298" s="1" t="s">
        <v>1436</v>
      </c>
      <c r="G1298" s="4" t="str">
        <f>HYPERLINK("http://nimonikapp.com/legislations/321802","http://nimonikapp.com/legislations/321802")</f>
        <v>http://nimonikapp.com/legislations/321802</v>
      </c>
      <c r="H1298" s="1" t="s">
        <v>18</v>
      </c>
      <c r="I1298" s="1" t="s">
        <v>3902</v>
      </c>
      <c r="J1298" s="1" t="s">
        <v>3903</v>
      </c>
      <c r="K1298" s="5">
        <v>44636.0</v>
      </c>
      <c r="L1298" s="5">
        <v>44624.0</v>
      </c>
      <c r="M1298" s="5">
        <v>44648.0</v>
      </c>
      <c r="N1298" s="1" t="s">
        <v>1439</v>
      </c>
    </row>
    <row r="1299" hidden="1">
      <c r="A1299" s="1" t="s">
        <v>66</v>
      </c>
      <c r="B1299" s="1" t="s">
        <v>25</v>
      </c>
      <c r="C1299" s="1" t="s">
        <v>3904</v>
      </c>
      <c r="D1299" s="1" t="str">
        <f>Vlookup(C1299,'Oil &amp; Gas Documents - Canada'!F:M,2,FALSE)</f>
        <v>#N/A</v>
      </c>
      <c r="E1299" s="1" t="str">
        <f>Vlookup(C1299,'Oil &amp; Gas Documents - Canada'!F:N,9,FALSE)</f>
        <v>#N/A</v>
      </c>
      <c r="F1299" s="1" t="s">
        <v>3905</v>
      </c>
      <c r="G1299" s="4" t="str">
        <f>HYPERLINK("http://nimonikapp.com/legislations/316157","http://nimonikapp.com/legislations/316157")</f>
        <v>http://nimonikapp.com/legislations/316157</v>
      </c>
      <c r="H1299" s="1" t="s">
        <v>18</v>
      </c>
      <c r="I1299" s="1" t="s">
        <v>3906</v>
      </c>
      <c r="J1299" s="1" t="s">
        <v>3907</v>
      </c>
      <c r="K1299" s="5">
        <v>44636.0</v>
      </c>
      <c r="L1299" s="5">
        <v>44636.0</v>
      </c>
      <c r="M1299" s="5">
        <v>44648.0</v>
      </c>
    </row>
    <row r="1300" hidden="1">
      <c r="A1300" s="1" t="s">
        <v>73</v>
      </c>
      <c r="B1300" s="1" t="s">
        <v>25</v>
      </c>
      <c r="C1300" s="1" t="s">
        <v>2459</v>
      </c>
      <c r="D1300" s="1" t="str">
        <f>Vlookup(C1300,'Oil &amp; Gas Documents - Canada'!F:M,2,FALSE)</f>
        <v>#N/A</v>
      </c>
      <c r="E1300" s="1" t="str">
        <f>Vlookup(C1300,'Oil &amp; Gas Documents - Canada'!F:N,9,FALSE)</f>
        <v>#N/A</v>
      </c>
      <c r="F1300" s="1" t="s">
        <v>2460</v>
      </c>
      <c r="G1300" s="4" t="str">
        <f>HYPERLINK("http://nimonikapp.com/legislations/321812","http://nimonikapp.com/legislations/321812")</f>
        <v>http://nimonikapp.com/legislations/321812</v>
      </c>
      <c r="H1300" s="1" t="s">
        <v>18</v>
      </c>
      <c r="I1300" s="1" t="s">
        <v>3908</v>
      </c>
      <c r="J1300" s="1" t="s">
        <v>3909</v>
      </c>
      <c r="K1300" s="5">
        <v>44636.0</v>
      </c>
      <c r="L1300" s="5">
        <v>44927.0</v>
      </c>
      <c r="M1300" s="5">
        <v>44648.0</v>
      </c>
      <c r="N1300" s="1" t="s">
        <v>2461</v>
      </c>
    </row>
    <row r="1301" hidden="1">
      <c r="A1301" s="1" t="s">
        <v>73</v>
      </c>
      <c r="B1301" s="1" t="s">
        <v>25</v>
      </c>
      <c r="C1301" s="1" t="s">
        <v>3910</v>
      </c>
      <c r="D1301" s="1" t="str">
        <f>Vlookup(C1301,'Oil &amp; Gas Documents - Canada'!F:M,2,FALSE)</f>
        <v>#N/A</v>
      </c>
      <c r="E1301" s="1" t="str">
        <f>Vlookup(C1301,'Oil &amp; Gas Documents - Canada'!F:N,9,FALSE)</f>
        <v>#N/A</v>
      </c>
      <c r="F1301" s="1" t="s">
        <v>3911</v>
      </c>
      <c r="G1301" s="4" t="str">
        <f t="shared" ref="G1301:G1302" si="30">HYPERLINK("http://nimonikapp.com/legislations/309711","http://nimonikapp.com/legislations/309711")</f>
        <v>http://nimonikapp.com/legislations/309711</v>
      </c>
      <c r="H1301" s="1" t="s">
        <v>18</v>
      </c>
      <c r="I1301" s="1" t="s">
        <v>3912</v>
      </c>
      <c r="J1301" s="1" t="s">
        <v>3913</v>
      </c>
      <c r="K1301" s="5">
        <v>44256.0</v>
      </c>
      <c r="L1301" s="5">
        <v>44256.0</v>
      </c>
      <c r="M1301" s="5">
        <v>44648.0</v>
      </c>
      <c r="N1301" s="1" t="s">
        <v>3914</v>
      </c>
    </row>
    <row r="1302" hidden="1">
      <c r="A1302" s="1" t="s">
        <v>73</v>
      </c>
      <c r="B1302" s="1" t="s">
        <v>25</v>
      </c>
      <c r="C1302" s="1" t="s">
        <v>3910</v>
      </c>
      <c r="D1302" s="1" t="str">
        <f>Vlookup(C1302,'Oil &amp; Gas Documents - Canada'!F:M,2,FALSE)</f>
        <v>#N/A</v>
      </c>
      <c r="E1302" s="1" t="str">
        <f>Vlookup(C1302,'Oil &amp; Gas Documents - Canada'!F:N,9,FALSE)</f>
        <v>#N/A</v>
      </c>
      <c r="F1302" s="1" t="s">
        <v>3911</v>
      </c>
      <c r="G1302" s="4" t="str">
        <f t="shared" si="30"/>
        <v>http://nimonikapp.com/legislations/309711</v>
      </c>
      <c r="H1302" s="1" t="s">
        <v>18</v>
      </c>
      <c r="I1302" s="1" t="s">
        <v>3915</v>
      </c>
      <c r="J1302" s="1" t="s">
        <v>3916</v>
      </c>
      <c r="K1302" s="5">
        <v>44440.0</v>
      </c>
      <c r="L1302" s="5">
        <v>44440.0</v>
      </c>
      <c r="M1302" s="5">
        <v>44648.0</v>
      </c>
      <c r="N1302" s="1" t="s">
        <v>3914</v>
      </c>
    </row>
    <row r="1303">
      <c r="A1303" s="1" t="s">
        <v>99</v>
      </c>
      <c r="B1303" s="1" t="s">
        <v>352</v>
      </c>
      <c r="C1303" s="1" t="s">
        <v>614</v>
      </c>
      <c r="D1303" s="1" t="str">
        <f>Vlookup(C1303,'Oil &amp; Gas Documents - Canada'!F:M,2,FALSE)</f>
        <v>oil_and_gas</v>
      </c>
      <c r="E1303" s="1" t="str">
        <f>Vlookup(C1303,'Oil &amp; Gas Documents - Canada'!F:N,9,FALSE)</f>
        <v/>
      </c>
      <c r="F1303" s="1" t="s">
        <v>613</v>
      </c>
      <c r="G1303" s="4" t="str">
        <f>HYPERLINK("http://nimonikapp.com/legislations/1405","http://nimonikapp.com/legislations/1405")</f>
        <v>http://nimonikapp.com/legislations/1405</v>
      </c>
      <c r="H1303" s="1" t="s">
        <v>356</v>
      </c>
      <c r="I1303" s="1" t="s">
        <v>616</v>
      </c>
      <c r="J1303" s="1" t="s">
        <v>617</v>
      </c>
      <c r="K1303" s="5">
        <v>44645.0</v>
      </c>
      <c r="L1303" s="5">
        <v>44645.0</v>
      </c>
      <c r="M1303" s="5">
        <v>44648.0</v>
      </c>
      <c r="N1303" s="1" t="s">
        <v>615</v>
      </c>
    </row>
    <row r="1304" hidden="1">
      <c r="A1304" s="1" t="s">
        <v>99</v>
      </c>
      <c r="B1304" s="1" t="s">
        <v>364</v>
      </c>
      <c r="C1304" s="1" t="s">
        <v>3917</v>
      </c>
      <c r="D1304" s="1" t="str">
        <f>Vlookup(C1304,'Oil &amp; Gas Documents - Canada'!F:M,2,FALSE)</f>
        <v>#N/A</v>
      </c>
      <c r="E1304" s="1" t="str">
        <f>Vlookup(C1304,'Oil &amp; Gas Documents - Canada'!F:N,9,FALSE)</f>
        <v>#N/A</v>
      </c>
      <c r="F1304" s="1" t="s">
        <v>3918</v>
      </c>
      <c r="G1304" s="4" t="str">
        <f>HYPERLINK("http://nimonikapp.com/legislations/1403","http://nimonikapp.com/legislations/1403")</f>
        <v>http://nimonikapp.com/legislations/1403</v>
      </c>
      <c r="H1304" s="1" t="s">
        <v>356</v>
      </c>
      <c r="I1304" s="1" t="s">
        <v>616</v>
      </c>
      <c r="J1304" s="1" t="s">
        <v>617</v>
      </c>
      <c r="K1304" s="5">
        <v>44645.0</v>
      </c>
      <c r="L1304" s="5">
        <v>44645.0</v>
      </c>
      <c r="M1304" s="5">
        <v>44648.0</v>
      </c>
      <c r="N1304" s="1" t="s">
        <v>3919</v>
      </c>
    </row>
    <row r="1305">
      <c r="A1305" s="1" t="s">
        <v>99</v>
      </c>
      <c r="B1305" s="1" t="s">
        <v>25</v>
      </c>
      <c r="C1305" s="1" t="s">
        <v>619</v>
      </c>
      <c r="D1305" s="1" t="s">
        <v>26</v>
      </c>
      <c r="E1305" s="1" t="str">
        <f>Vlookup(C1305,'Oil &amp; Gas Documents - Canada'!F:N,9,FALSE)</f>
        <v>#N/A</v>
      </c>
      <c r="F1305" s="1" t="s">
        <v>618</v>
      </c>
      <c r="G1305" s="4" t="str">
        <f>HYPERLINK("http://nimonikapp.com/legislations/123276","http://nimonikapp.com/legislations/123276")</f>
        <v>http://nimonikapp.com/legislations/123276</v>
      </c>
      <c r="H1305" s="1" t="s">
        <v>18</v>
      </c>
      <c r="I1305" s="1" t="s">
        <v>616</v>
      </c>
      <c r="J1305" s="1" t="s">
        <v>617</v>
      </c>
      <c r="K1305" s="5">
        <v>44645.0</v>
      </c>
      <c r="L1305" s="5">
        <v>44645.0</v>
      </c>
      <c r="M1305" s="5">
        <v>44648.0</v>
      </c>
    </row>
    <row r="1306" hidden="1">
      <c r="A1306" s="1" t="s">
        <v>202</v>
      </c>
      <c r="B1306" s="1" t="s">
        <v>25</v>
      </c>
      <c r="C1306" s="1" t="s">
        <v>3920</v>
      </c>
      <c r="D1306" s="1" t="str">
        <f>Vlookup(C1306,'Oil &amp; Gas Documents - Canada'!F:M,2,FALSE)</f>
        <v>#N/A</v>
      </c>
      <c r="E1306" s="1" t="str">
        <f>Vlookup(C1306,'Oil &amp; Gas Documents - Canada'!F:N,9,FALSE)</f>
        <v>#N/A</v>
      </c>
      <c r="F1306" s="1" t="s">
        <v>3921</v>
      </c>
      <c r="G1306" s="4" t="str">
        <f>HYPERLINK("http://nimonikapp.com/legislations/3838","http://nimonikapp.com/legislations/3838")</f>
        <v>http://nimonikapp.com/legislations/3838</v>
      </c>
      <c r="H1306" s="1" t="s">
        <v>18</v>
      </c>
      <c r="I1306" s="1" t="s">
        <v>3922</v>
      </c>
      <c r="J1306" s="1" t="s">
        <v>3923</v>
      </c>
      <c r="K1306" s="5">
        <v>44616.0</v>
      </c>
      <c r="L1306" s="5">
        <v>44616.0</v>
      </c>
      <c r="M1306" s="5">
        <v>44644.0</v>
      </c>
    </row>
    <row r="1307" hidden="1">
      <c r="A1307" s="1" t="s">
        <v>202</v>
      </c>
      <c r="B1307" s="1" t="s">
        <v>25</v>
      </c>
      <c r="C1307" s="1" t="s">
        <v>2067</v>
      </c>
      <c r="D1307" s="1" t="str">
        <f>Vlookup(C1307,'Oil &amp; Gas Documents - Canada'!F:M,2,FALSE)</f>
        <v>#N/A</v>
      </c>
      <c r="E1307" s="1" t="str">
        <f>Vlookup(C1307,'Oil &amp; Gas Documents - Canada'!F:N,9,FALSE)</f>
        <v>#N/A</v>
      </c>
      <c r="F1307" s="1" t="s">
        <v>2068</v>
      </c>
      <c r="G1307" s="4" t="str">
        <f>HYPERLINK("http://nimonikapp.com/legislations/212","http://nimonikapp.com/legislations/212")</f>
        <v>http://nimonikapp.com/legislations/212</v>
      </c>
      <c r="H1307" s="1" t="s">
        <v>18</v>
      </c>
      <c r="I1307" s="1" t="s">
        <v>3924</v>
      </c>
      <c r="J1307" s="1" t="s">
        <v>3925</v>
      </c>
      <c r="K1307" s="5">
        <v>44643.0</v>
      </c>
      <c r="M1307" s="5">
        <v>44644.0</v>
      </c>
      <c r="N1307" s="1" t="s">
        <v>2069</v>
      </c>
    </row>
    <row r="1308" hidden="1">
      <c r="A1308" s="1" t="s">
        <v>202</v>
      </c>
      <c r="B1308" s="1" t="s">
        <v>25</v>
      </c>
      <c r="C1308" s="1" t="s">
        <v>2342</v>
      </c>
      <c r="D1308" s="1" t="str">
        <f>Vlookup(C1308,'Oil &amp; Gas Documents - Canada'!F:M,2,FALSE)</f>
        <v>#N/A</v>
      </c>
      <c r="E1308" s="1" t="str">
        <f>Vlookup(C1308,'Oil &amp; Gas Documents - Canada'!F:N,9,FALSE)</f>
        <v>#N/A</v>
      </c>
      <c r="F1308" s="1" t="s">
        <v>2343</v>
      </c>
      <c r="G1308" s="4" t="str">
        <f>HYPERLINK("http://nimonikapp.com/legislations/44","http://nimonikapp.com/legislations/44")</f>
        <v>http://nimonikapp.com/legislations/44</v>
      </c>
      <c r="H1308" s="1" t="s">
        <v>18</v>
      </c>
      <c r="I1308" s="1" t="s">
        <v>3924</v>
      </c>
      <c r="J1308" s="1" t="s">
        <v>3925</v>
      </c>
      <c r="K1308" s="5">
        <v>44643.0</v>
      </c>
      <c r="M1308" s="5">
        <v>44644.0</v>
      </c>
    </row>
    <row r="1309" hidden="1">
      <c r="A1309" s="1" t="s">
        <v>202</v>
      </c>
      <c r="B1309" s="1" t="s">
        <v>25</v>
      </c>
      <c r="C1309" s="1" t="s">
        <v>2058</v>
      </c>
      <c r="D1309" s="1" t="str">
        <f>Vlookup(C1309,'Oil &amp; Gas Documents - Canada'!F:M,2,FALSE)</f>
        <v>#N/A</v>
      </c>
      <c r="E1309" s="1" t="str">
        <f>Vlookup(C1309,'Oil &amp; Gas Documents - Canada'!F:N,9,FALSE)</f>
        <v>#N/A</v>
      </c>
      <c r="F1309" s="1" t="s">
        <v>2059</v>
      </c>
      <c r="G1309" s="4" t="str">
        <f>HYPERLINK("http://nimonikapp.com/legislations/41","http://nimonikapp.com/legislations/41")</f>
        <v>http://nimonikapp.com/legislations/41</v>
      </c>
      <c r="H1309" s="1" t="s">
        <v>18</v>
      </c>
      <c r="I1309" s="1" t="s">
        <v>3924</v>
      </c>
      <c r="J1309" s="1" t="s">
        <v>3925</v>
      </c>
      <c r="K1309" s="5">
        <v>44643.0</v>
      </c>
      <c r="M1309" s="5">
        <v>44644.0</v>
      </c>
      <c r="N1309" s="1" t="s">
        <v>2060</v>
      </c>
    </row>
    <row r="1310" hidden="1">
      <c r="A1310" s="1" t="s">
        <v>202</v>
      </c>
      <c r="B1310" s="1" t="s">
        <v>25</v>
      </c>
      <c r="C1310" s="1" t="s">
        <v>2117</v>
      </c>
      <c r="D1310" s="1" t="str">
        <f>Vlookup(C1310,'Oil &amp; Gas Documents - Canada'!F:M,2,FALSE)</f>
        <v>#N/A</v>
      </c>
      <c r="E1310" s="1" t="str">
        <f>Vlookup(C1310,'Oil &amp; Gas Documents - Canada'!F:N,9,FALSE)</f>
        <v>#N/A</v>
      </c>
      <c r="F1310" s="1" t="s">
        <v>2118</v>
      </c>
      <c r="G1310" s="4" t="str">
        <f>HYPERLINK("http://nimonikapp.com/legislations/14","http://nimonikapp.com/legislations/14")</f>
        <v>http://nimonikapp.com/legislations/14</v>
      </c>
      <c r="H1310" s="1" t="s">
        <v>18</v>
      </c>
      <c r="I1310" s="1" t="s">
        <v>3924</v>
      </c>
      <c r="J1310" s="1" t="s">
        <v>3925</v>
      </c>
      <c r="K1310" s="5">
        <v>44643.0</v>
      </c>
      <c r="M1310" s="5">
        <v>44644.0</v>
      </c>
    </row>
    <row r="1311" hidden="1">
      <c r="A1311" s="1" t="s">
        <v>202</v>
      </c>
      <c r="B1311" s="1" t="s">
        <v>25</v>
      </c>
      <c r="C1311" s="1" t="s">
        <v>1659</v>
      </c>
      <c r="D1311" s="1" t="str">
        <f>Vlookup(C1311,'Oil &amp; Gas Documents - Canada'!F:M,2,FALSE)</f>
        <v>#N/A</v>
      </c>
      <c r="E1311" s="1" t="str">
        <f>Vlookup(C1311,'Oil &amp; Gas Documents - Canada'!F:N,9,FALSE)</f>
        <v>#N/A</v>
      </c>
      <c r="F1311" s="1" t="s">
        <v>1660</v>
      </c>
      <c r="G1311" s="4" t="str">
        <f>HYPERLINK("http://nimonikapp.com/legislations/268529","http://nimonikapp.com/legislations/268529")</f>
        <v>http://nimonikapp.com/legislations/268529</v>
      </c>
      <c r="H1311" s="1" t="s">
        <v>18</v>
      </c>
      <c r="I1311" s="1" t="s">
        <v>3926</v>
      </c>
      <c r="J1311" s="1" t="s">
        <v>3927</v>
      </c>
      <c r="K1311" s="5">
        <v>44645.0</v>
      </c>
      <c r="L1311" s="5">
        <v>44501.0</v>
      </c>
      <c r="M1311" s="5">
        <v>44644.0</v>
      </c>
      <c r="N1311" s="1" t="s">
        <v>1661</v>
      </c>
    </row>
    <row r="1312" hidden="1">
      <c r="A1312" s="1" t="s">
        <v>66</v>
      </c>
      <c r="B1312" s="1" t="s">
        <v>364</v>
      </c>
      <c r="C1312" s="1" t="s">
        <v>3928</v>
      </c>
      <c r="D1312" s="1" t="str">
        <f>Vlookup(C1312,'Oil &amp; Gas Documents - Canada'!F:M,2,FALSE)</f>
        <v>#N/A</v>
      </c>
      <c r="E1312" s="1" t="str">
        <f>Vlookup(C1312,'Oil &amp; Gas Documents - Canada'!F:N,9,FALSE)</f>
        <v>#N/A</v>
      </c>
      <c r="F1312" s="1" t="s">
        <v>3929</v>
      </c>
      <c r="G1312" s="4" t="str">
        <f>HYPERLINK("http://nimonikapp.com/legislations/316144","http://nimonikapp.com/legislations/316144")</f>
        <v>http://nimonikapp.com/legislations/316144</v>
      </c>
      <c r="H1312" s="1" t="s">
        <v>356</v>
      </c>
      <c r="I1312" s="1" t="s">
        <v>3930</v>
      </c>
      <c r="J1312" s="1" t="s">
        <v>3931</v>
      </c>
      <c r="K1312" s="5">
        <v>44638.0</v>
      </c>
      <c r="L1312" s="5">
        <v>44652.0</v>
      </c>
      <c r="M1312" s="5">
        <v>44644.0</v>
      </c>
      <c r="N1312" s="1" t="s">
        <v>3932</v>
      </c>
    </row>
    <row r="1313">
      <c r="A1313" s="1" t="s">
        <v>73</v>
      </c>
      <c r="B1313" s="1" t="s">
        <v>15</v>
      </c>
      <c r="C1313" s="1" t="s">
        <v>621</v>
      </c>
      <c r="D1313" s="1" t="s">
        <v>26</v>
      </c>
      <c r="E1313" s="1" t="str">
        <f>Vlookup(C1313,'Oil &amp; Gas Documents - Canada'!F:N,9,FALSE)</f>
        <v>#N/A</v>
      </c>
      <c r="F1313" s="1" t="s">
        <v>620</v>
      </c>
      <c r="G1313" s="4" t="str">
        <f>HYPERLINK("http://nimonikapp.com/legislations/779","http://nimonikapp.com/legislations/779")</f>
        <v>http://nimonikapp.com/legislations/779</v>
      </c>
      <c r="H1313" s="1" t="s">
        <v>18</v>
      </c>
      <c r="I1313" s="1" t="s">
        <v>623</v>
      </c>
      <c r="J1313" s="1" t="s">
        <v>624</v>
      </c>
      <c r="K1313" s="5">
        <v>44593.0</v>
      </c>
      <c r="L1313" s="5">
        <v>44593.0</v>
      </c>
      <c r="M1313" s="5">
        <v>44644.0</v>
      </c>
      <c r="N1313" s="1" t="s">
        <v>622</v>
      </c>
    </row>
    <row r="1314">
      <c r="A1314" s="1" t="s">
        <v>21</v>
      </c>
      <c r="B1314" s="1" t="s">
        <v>25</v>
      </c>
      <c r="C1314" s="1" t="s">
        <v>626</v>
      </c>
      <c r="D1314" s="1" t="str">
        <f>Vlookup(C1314,'Oil &amp; Gas Documents - Canada'!F:M,2,FALSE)</f>
        <v>oil_and_gas</v>
      </c>
      <c r="E1314" s="1" t="str">
        <f>Vlookup(C1314,'Oil &amp; Gas Documents - Canada'!F:N,9,FALSE)</f>
        <v/>
      </c>
      <c r="F1314" s="1" t="s">
        <v>625</v>
      </c>
      <c r="G1314" s="4" t="str">
        <f>HYPERLINK("http://nimonikapp.com/legislations/4040","http://nimonikapp.com/legislations/4040")</f>
        <v>http://nimonikapp.com/legislations/4040</v>
      </c>
      <c r="H1314" s="1" t="s">
        <v>18</v>
      </c>
      <c r="I1314" s="1" t="s">
        <v>628</v>
      </c>
      <c r="J1314" s="1" t="s">
        <v>629</v>
      </c>
      <c r="K1314" s="5">
        <v>44637.0</v>
      </c>
      <c r="L1314" s="5">
        <v>44637.0</v>
      </c>
      <c r="M1314" s="5">
        <v>44644.0</v>
      </c>
      <c r="N1314" s="1" t="s">
        <v>627</v>
      </c>
    </row>
    <row r="1315" hidden="1">
      <c r="A1315" s="1" t="s">
        <v>202</v>
      </c>
      <c r="B1315" s="1" t="s">
        <v>352</v>
      </c>
      <c r="C1315" s="1" t="s">
        <v>3933</v>
      </c>
      <c r="D1315" s="1" t="str">
        <f>Vlookup(C1315,'Oil &amp; Gas Documents - Canada'!F:M,2,FALSE)</f>
        <v>#N/A</v>
      </c>
      <c r="E1315" s="1" t="str">
        <f>Vlookup(C1315,'Oil &amp; Gas Documents - Canada'!F:N,9,FALSE)</f>
        <v>#N/A</v>
      </c>
      <c r="F1315" s="1" t="s">
        <v>1410</v>
      </c>
      <c r="G1315" s="4" t="str">
        <f>HYPERLINK("http://nimonikapp.com/legislations/305917","http://nimonikapp.com/legislations/305917")</f>
        <v>http://nimonikapp.com/legislations/305917</v>
      </c>
      <c r="H1315" s="1" t="s">
        <v>356</v>
      </c>
      <c r="I1315" s="1" t="s">
        <v>3934</v>
      </c>
      <c r="J1315" s="1" t="s">
        <v>1410</v>
      </c>
      <c r="K1315" s="5">
        <v>44644.0</v>
      </c>
      <c r="L1315" s="5">
        <v>44638.0</v>
      </c>
      <c r="M1315" s="5">
        <v>44644.0</v>
      </c>
      <c r="N1315" s="1" t="s">
        <v>3935</v>
      </c>
    </row>
    <row r="1316" hidden="1">
      <c r="A1316" s="1" t="s">
        <v>70</v>
      </c>
      <c r="B1316" s="1" t="s">
        <v>15</v>
      </c>
      <c r="C1316" s="1" t="s">
        <v>3936</v>
      </c>
      <c r="D1316" s="1" t="str">
        <f>Vlookup(C1316,'Oil &amp; Gas Documents - Canada'!F:M,2,FALSE)</f>
        <v>#N/A</v>
      </c>
      <c r="E1316" s="1" t="str">
        <f>Vlookup(C1316,'Oil &amp; Gas Documents - Canada'!F:N,9,FALSE)</f>
        <v>#N/A</v>
      </c>
      <c r="F1316" s="1" t="s">
        <v>3937</v>
      </c>
      <c r="G1316" s="4" t="str">
        <f>HYPERLINK("http://nimonikapp.com/legislations/339075","http://nimonikapp.com/legislations/339075")</f>
        <v>http://nimonikapp.com/legislations/339075</v>
      </c>
      <c r="H1316" s="1" t="s">
        <v>516</v>
      </c>
      <c r="K1316" s="5">
        <v>44641.0</v>
      </c>
      <c r="M1316" s="5">
        <v>44642.0</v>
      </c>
    </row>
    <row r="1317">
      <c r="A1317" s="1" t="s">
        <v>53</v>
      </c>
      <c r="B1317" s="1" t="s">
        <v>364</v>
      </c>
      <c r="C1317" s="1" t="s">
        <v>631</v>
      </c>
      <c r="D1317" s="1" t="s">
        <v>26</v>
      </c>
      <c r="E1317" s="1" t="str">
        <f>Vlookup(C1317,'Oil &amp; Gas Documents - Canada'!F:N,9,FALSE)</f>
        <v>#N/A</v>
      </c>
      <c r="F1317" s="1" t="s">
        <v>630</v>
      </c>
      <c r="G1317" s="4" t="str">
        <f>HYPERLINK("http://nimonikapp.com/legislations/587","http://nimonikapp.com/legislations/587")</f>
        <v>http://nimonikapp.com/legislations/587</v>
      </c>
      <c r="H1317" s="1" t="s">
        <v>356</v>
      </c>
      <c r="I1317" s="1" t="s">
        <v>633</v>
      </c>
      <c r="J1317" s="1" t="s">
        <v>634</v>
      </c>
      <c r="K1317" s="5">
        <v>44541.0</v>
      </c>
      <c r="L1317" s="5">
        <v>44541.0</v>
      </c>
      <c r="M1317" s="5">
        <v>44642.0</v>
      </c>
      <c r="N1317" s="1" t="s">
        <v>632</v>
      </c>
    </row>
    <row r="1318" hidden="1">
      <c r="A1318" s="1" t="s">
        <v>73</v>
      </c>
      <c r="B1318" s="1" t="s">
        <v>15</v>
      </c>
      <c r="C1318" s="1" t="s">
        <v>3938</v>
      </c>
      <c r="D1318" s="1" t="str">
        <f>Vlookup(C1318,'Oil &amp; Gas Documents - Canada'!F:M,2,FALSE)</f>
        <v>#N/A</v>
      </c>
      <c r="E1318" s="1" t="str">
        <f>Vlookup(C1318,'Oil &amp; Gas Documents - Canada'!F:N,9,FALSE)</f>
        <v>#N/A</v>
      </c>
      <c r="F1318" s="1" t="s">
        <v>3939</v>
      </c>
      <c r="G1318" s="4" t="str">
        <f>HYPERLINK("http://nimonikapp.com/legislations/338984","http://nimonikapp.com/legislations/338984")</f>
        <v>http://nimonikapp.com/legislations/338984</v>
      </c>
      <c r="H1318" s="1" t="s">
        <v>516</v>
      </c>
      <c r="K1318" s="5">
        <v>44639.0</v>
      </c>
      <c r="M1318" s="5">
        <v>44641.0</v>
      </c>
    </row>
    <row r="1319" hidden="1">
      <c r="A1319" s="1" t="s">
        <v>202</v>
      </c>
      <c r="B1319" s="1" t="s">
        <v>25</v>
      </c>
      <c r="C1319" s="1" t="s">
        <v>3940</v>
      </c>
      <c r="D1319" s="1" t="str">
        <f>Vlookup(C1319,'Oil &amp; Gas Documents - Canada'!F:M,2,FALSE)</f>
        <v>#N/A</v>
      </c>
      <c r="E1319" s="1" t="str">
        <f>Vlookup(C1319,'Oil &amp; Gas Documents - Canada'!F:N,9,FALSE)</f>
        <v>#N/A</v>
      </c>
      <c r="F1319" s="1" t="s">
        <v>3941</v>
      </c>
      <c r="G1319" s="4" t="str">
        <f>HYPERLINK("http://nimonikapp.com/legislations/1081","http://nimonikapp.com/legislations/1081")</f>
        <v>http://nimonikapp.com/legislations/1081</v>
      </c>
      <c r="H1319" s="1" t="s">
        <v>18</v>
      </c>
      <c r="I1319" s="1" t="s">
        <v>3942</v>
      </c>
      <c r="J1319" s="1" t="s">
        <v>3943</v>
      </c>
      <c r="K1319" s="5">
        <v>44639.0</v>
      </c>
      <c r="M1319" s="5">
        <v>44641.0</v>
      </c>
      <c r="N1319" s="1" t="s">
        <v>3944</v>
      </c>
    </row>
    <row r="1320" hidden="1">
      <c r="A1320" s="1" t="s">
        <v>73</v>
      </c>
      <c r="B1320" s="1" t="s">
        <v>25</v>
      </c>
      <c r="C1320" s="1" t="s">
        <v>1762</v>
      </c>
      <c r="D1320" s="1" t="str">
        <f>Vlookup(C1320,'Oil &amp; Gas Documents - Canada'!F:M,2,FALSE)</f>
        <v>#N/A</v>
      </c>
      <c r="E1320" s="1" t="str">
        <f>Vlookup(C1320,'Oil &amp; Gas Documents - Canada'!F:N,9,FALSE)</f>
        <v>#N/A</v>
      </c>
      <c r="F1320" s="1" t="s">
        <v>1763</v>
      </c>
      <c r="G1320" s="4" t="str">
        <f>HYPERLINK("http://nimonikapp.com/legislations/6187","http://nimonikapp.com/legislations/6187")</f>
        <v>http://nimonikapp.com/legislations/6187</v>
      </c>
      <c r="H1320" s="1" t="s">
        <v>18</v>
      </c>
      <c r="I1320" s="1" t="s">
        <v>3945</v>
      </c>
      <c r="J1320" s="1" t="s">
        <v>3946</v>
      </c>
      <c r="K1320" s="5">
        <v>44639.0</v>
      </c>
      <c r="L1320" s="5">
        <v>44638.0</v>
      </c>
      <c r="M1320" s="5">
        <v>44641.0</v>
      </c>
      <c r="N1320" s="1" t="s">
        <v>1766</v>
      </c>
    </row>
    <row r="1321" hidden="1">
      <c r="A1321" s="1" t="s">
        <v>70</v>
      </c>
      <c r="B1321" s="1" t="s">
        <v>25</v>
      </c>
      <c r="C1321" s="1" t="s">
        <v>3263</v>
      </c>
      <c r="D1321" s="1" t="str">
        <f>Vlookup(C1321,'Oil &amp; Gas Documents - Canada'!F:M,2,FALSE)</f>
        <v>#N/A</v>
      </c>
      <c r="E1321" s="1" t="str">
        <f>Vlookup(C1321,'Oil &amp; Gas Documents - Canada'!F:N,9,FALSE)</f>
        <v>#N/A</v>
      </c>
      <c r="F1321" s="1" t="s">
        <v>3264</v>
      </c>
      <c r="G1321" s="4" t="str">
        <f>HYPERLINK("http://nimonikapp.com/legislations/4020","http://nimonikapp.com/legislations/4020")</f>
        <v>http://nimonikapp.com/legislations/4020</v>
      </c>
      <c r="H1321" s="1" t="s">
        <v>18</v>
      </c>
      <c r="I1321" s="1" t="s">
        <v>3947</v>
      </c>
      <c r="J1321" s="1" t="s">
        <v>3266</v>
      </c>
      <c r="K1321" s="5">
        <v>44653.0</v>
      </c>
      <c r="L1321" s="5">
        <v>44743.0</v>
      </c>
      <c r="M1321" s="5">
        <v>44641.0</v>
      </c>
      <c r="N1321" s="1" t="s">
        <v>3267</v>
      </c>
    </row>
    <row r="1322" hidden="1">
      <c r="A1322" s="1" t="s">
        <v>73</v>
      </c>
      <c r="B1322" s="1" t="s">
        <v>364</v>
      </c>
      <c r="C1322" s="1" t="s">
        <v>3948</v>
      </c>
      <c r="D1322" s="1" t="str">
        <f>Vlookup(C1322,'Oil &amp; Gas Documents - Canada'!F:M,2,FALSE)</f>
        <v>#N/A</v>
      </c>
      <c r="E1322" s="1" t="str">
        <f>Vlookup(C1322,'Oil &amp; Gas Documents - Canada'!F:N,9,FALSE)</f>
        <v>#N/A</v>
      </c>
      <c r="F1322" s="1" t="s">
        <v>3949</v>
      </c>
      <c r="G1322" s="4" t="str">
        <f>HYPERLINK("http://nimonikapp.com/legislations/338393","http://nimonikapp.com/legislations/338393")</f>
        <v>http://nimonikapp.com/legislations/338393</v>
      </c>
      <c r="H1322" s="1" t="s">
        <v>356</v>
      </c>
      <c r="I1322" s="1" t="s">
        <v>3868</v>
      </c>
      <c r="J1322" s="1" t="s">
        <v>3869</v>
      </c>
      <c r="K1322" s="5">
        <v>44639.0</v>
      </c>
      <c r="L1322" s="5">
        <v>44620.0</v>
      </c>
      <c r="M1322" s="5">
        <v>44641.0</v>
      </c>
      <c r="N1322" s="1" t="s">
        <v>3950</v>
      </c>
    </row>
    <row r="1323" hidden="1">
      <c r="A1323" s="1" t="s">
        <v>24</v>
      </c>
      <c r="B1323" s="1" t="s">
        <v>25</v>
      </c>
      <c r="C1323" s="1" t="s">
        <v>1617</v>
      </c>
      <c r="D1323" s="1" t="str">
        <f>Vlookup(C1323,'Oil &amp; Gas Documents - Canada'!F:M,2,FALSE)</f>
        <v>#N/A</v>
      </c>
      <c r="E1323" s="1" t="str">
        <f>Vlookup(C1323,'Oil &amp; Gas Documents - Canada'!F:N,9,FALSE)</f>
        <v>#N/A</v>
      </c>
      <c r="F1323" s="1" t="s">
        <v>1618</v>
      </c>
      <c r="G1323" s="4" t="str">
        <f>HYPERLINK("http://nimonikapp.com/legislations/1247","http://nimonikapp.com/legislations/1247")</f>
        <v>http://nimonikapp.com/legislations/1247</v>
      </c>
      <c r="H1323" s="1" t="s">
        <v>18</v>
      </c>
      <c r="I1323" s="1" t="s">
        <v>3951</v>
      </c>
      <c r="J1323" s="1" t="s">
        <v>3952</v>
      </c>
      <c r="K1323" s="5">
        <v>44635.0</v>
      </c>
      <c r="L1323" s="5">
        <v>44713.0</v>
      </c>
      <c r="M1323" s="5">
        <v>44638.0</v>
      </c>
      <c r="N1323" s="1" t="s">
        <v>1621</v>
      </c>
    </row>
    <row r="1324" hidden="1">
      <c r="A1324" s="1" t="s">
        <v>24</v>
      </c>
      <c r="B1324" s="1" t="s">
        <v>25</v>
      </c>
      <c r="C1324" s="1" t="s">
        <v>2840</v>
      </c>
      <c r="D1324" s="1" t="str">
        <f>Vlookup(C1324,'Oil &amp; Gas Documents - Canada'!F:M,2,FALSE)</f>
        <v>#N/A</v>
      </c>
      <c r="E1324" s="1" t="str">
        <f>Vlookup(C1324,'Oil &amp; Gas Documents - Canada'!F:N,9,FALSE)</f>
        <v>#N/A</v>
      </c>
      <c r="F1324" s="1" t="s">
        <v>2841</v>
      </c>
      <c r="G1324" s="4" t="str">
        <f>HYPERLINK("http://nimonikapp.com/legislations/94","http://nimonikapp.com/legislations/94")</f>
        <v>http://nimonikapp.com/legislations/94</v>
      </c>
      <c r="H1324" s="1" t="s">
        <v>18</v>
      </c>
      <c r="I1324" s="1" t="s">
        <v>3953</v>
      </c>
      <c r="J1324" s="1" t="s">
        <v>3954</v>
      </c>
      <c r="K1324" s="5">
        <v>44630.0</v>
      </c>
      <c r="L1324" s="5">
        <v>44630.0</v>
      </c>
      <c r="M1324" s="5">
        <v>44638.0</v>
      </c>
      <c r="N1324" s="1" t="s">
        <v>2844</v>
      </c>
    </row>
    <row r="1325" hidden="1">
      <c r="A1325" s="1" t="s">
        <v>24</v>
      </c>
      <c r="B1325" s="1" t="s">
        <v>25</v>
      </c>
      <c r="C1325" s="1" t="s">
        <v>826</v>
      </c>
      <c r="D1325" s="1" t="str">
        <f>Vlookup(C1325,'Oil &amp; Gas Documents - Canada'!F:M,2,FALSE)</f>
        <v>#N/A</v>
      </c>
      <c r="E1325" s="1" t="str">
        <f>Vlookup(C1325,'Oil &amp; Gas Documents - Canada'!F:N,9,FALSE)</f>
        <v>#N/A</v>
      </c>
      <c r="F1325" s="1" t="s">
        <v>827</v>
      </c>
      <c r="G1325" s="4" t="str">
        <f>HYPERLINK("http://nimonikapp.com/legislations/122769","http://nimonikapp.com/legislations/122769")</f>
        <v>http://nimonikapp.com/legislations/122769</v>
      </c>
      <c r="H1325" s="1" t="s">
        <v>18</v>
      </c>
      <c r="I1325" s="1" t="s">
        <v>3955</v>
      </c>
      <c r="J1325" s="1" t="s">
        <v>3956</v>
      </c>
      <c r="K1325" s="5">
        <v>44630.0</v>
      </c>
      <c r="M1325" s="5">
        <v>44638.0</v>
      </c>
      <c r="N1325" s="1" t="s">
        <v>828</v>
      </c>
    </row>
    <row r="1326" hidden="1">
      <c r="A1326" s="1" t="s">
        <v>24</v>
      </c>
      <c r="B1326" s="1" t="s">
        <v>25</v>
      </c>
      <c r="C1326" s="1" t="s">
        <v>815</v>
      </c>
      <c r="D1326" s="1" t="str">
        <f>Vlookup(C1326,'Oil &amp; Gas Documents - Canada'!F:M,2,FALSE)</f>
        <v>#N/A</v>
      </c>
      <c r="E1326" s="1" t="str">
        <f>Vlookup(C1326,'Oil &amp; Gas Documents - Canada'!F:N,9,FALSE)</f>
        <v>#N/A</v>
      </c>
      <c r="F1326" s="1" t="s">
        <v>816</v>
      </c>
      <c r="G1326" s="4" t="str">
        <f>HYPERLINK("http://nimonikapp.com/legislations/101","http://nimonikapp.com/legislations/101")</f>
        <v>http://nimonikapp.com/legislations/101</v>
      </c>
      <c r="H1326" s="1" t="s">
        <v>18</v>
      </c>
      <c r="I1326" s="1" t="s">
        <v>3957</v>
      </c>
      <c r="J1326" s="1" t="s">
        <v>3958</v>
      </c>
      <c r="K1326" s="5">
        <v>44630.0</v>
      </c>
      <c r="L1326" s="5">
        <v>44630.0</v>
      </c>
      <c r="M1326" s="5">
        <v>44638.0</v>
      </c>
      <c r="N1326" s="1" t="s">
        <v>819</v>
      </c>
    </row>
    <row r="1327" hidden="1">
      <c r="A1327" s="1" t="s">
        <v>221</v>
      </c>
      <c r="B1327" s="1" t="s">
        <v>15</v>
      </c>
      <c r="C1327" s="1" t="s">
        <v>3959</v>
      </c>
      <c r="D1327" s="1" t="str">
        <f>Vlookup(C1327,'Oil &amp; Gas Documents - Canada'!F:M,2,FALSE)</f>
        <v>#N/A</v>
      </c>
      <c r="E1327" s="1" t="str">
        <f>Vlookup(C1327,'Oil &amp; Gas Documents - Canada'!F:N,9,FALSE)</f>
        <v>#N/A</v>
      </c>
      <c r="F1327" s="1" t="s">
        <v>3960</v>
      </c>
      <c r="G1327" s="4" t="str">
        <f>HYPERLINK("http://nimonikapp.com/legislations/338831","http://nimonikapp.com/legislations/338831")</f>
        <v>http://nimonikapp.com/legislations/338831</v>
      </c>
      <c r="H1327" s="1" t="s">
        <v>516</v>
      </c>
      <c r="K1327" s="5">
        <v>44630.0</v>
      </c>
      <c r="M1327" s="5">
        <v>44637.0</v>
      </c>
    </row>
    <row r="1328">
      <c r="A1328" s="1" t="s">
        <v>70</v>
      </c>
      <c r="B1328" s="1" t="s">
        <v>15</v>
      </c>
      <c r="C1328" s="1" t="s">
        <v>636</v>
      </c>
      <c r="D1328" s="1" t="s">
        <v>26</v>
      </c>
      <c r="E1328" s="1" t="str">
        <f>Vlookup(C1328,'Oil &amp; Gas Documents - Canada'!F:N,9,FALSE)</f>
        <v>#N/A</v>
      </c>
      <c r="F1328" s="1" t="s">
        <v>635</v>
      </c>
      <c r="G1328" s="4" t="str">
        <f>HYPERLINK("http://nimonikapp.com/legislations/338769","http://nimonikapp.com/legislations/338769")</f>
        <v>http://nimonikapp.com/legislations/338769</v>
      </c>
      <c r="H1328" s="1" t="s">
        <v>516</v>
      </c>
      <c r="K1328" s="5">
        <v>44631.0</v>
      </c>
      <c r="M1328" s="5">
        <v>44637.0</v>
      </c>
    </row>
    <row r="1329" hidden="1">
      <c r="A1329" s="1" t="s">
        <v>70</v>
      </c>
      <c r="B1329" s="1" t="s">
        <v>25</v>
      </c>
      <c r="C1329" s="1" t="s">
        <v>3347</v>
      </c>
      <c r="D1329" s="1" t="str">
        <f>Vlookup(C1329,'Oil &amp; Gas Documents - Canada'!F:M,2,FALSE)</f>
        <v>#N/A</v>
      </c>
      <c r="E1329" s="1" t="str">
        <f>Vlookup(C1329,'Oil &amp; Gas Documents - Canada'!F:N,9,FALSE)</f>
        <v>#N/A</v>
      </c>
      <c r="F1329" s="1" t="s">
        <v>3348</v>
      </c>
      <c r="G1329" s="4" t="str">
        <f>HYPERLINK("http://nimonikapp.com/legislations/1270","http://nimonikapp.com/legislations/1270")</f>
        <v>http://nimonikapp.com/legislations/1270</v>
      </c>
      <c r="H1329" s="1" t="s">
        <v>18</v>
      </c>
      <c r="I1329" s="1" t="s">
        <v>3961</v>
      </c>
      <c r="J1329" s="1" t="s">
        <v>3350</v>
      </c>
      <c r="K1329" s="5">
        <v>44646.0</v>
      </c>
      <c r="L1329" s="5">
        <v>44682.0</v>
      </c>
      <c r="M1329" s="5">
        <v>44637.0</v>
      </c>
      <c r="N1329" s="1" t="s">
        <v>3351</v>
      </c>
    </row>
    <row r="1330" hidden="1">
      <c r="A1330" s="1" t="s">
        <v>70</v>
      </c>
      <c r="B1330" s="1" t="s">
        <v>25</v>
      </c>
      <c r="C1330" s="1" t="s">
        <v>3343</v>
      </c>
      <c r="D1330" s="1" t="str">
        <f>Vlookup(C1330,'Oil &amp; Gas Documents - Canada'!F:M,2,FALSE)</f>
        <v>#N/A</v>
      </c>
      <c r="E1330" s="1" t="str">
        <f>Vlookup(C1330,'Oil &amp; Gas Documents - Canada'!F:N,9,FALSE)</f>
        <v>#N/A</v>
      </c>
      <c r="F1330" s="1" t="s">
        <v>3344</v>
      </c>
      <c r="G1330" s="4" t="str">
        <f>HYPERLINK("http://nimonikapp.com/legislations/113714","http://nimonikapp.com/legislations/113714")</f>
        <v>http://nimonikapp.com/legislations/113714</v>
      </c>
      <c r="H1330" s="1" t="s">
        <v>18</v>
      </c>
      <c r="I1330" s="1" t="s">
        <v>3962</v>
      </c>
      <c r="J1330" s="1" t="s">
        <v>3346</v>
      </c>
      <c r="K1330" s="5">
        <v>44646.0</v>
      </c>
      <c r="L1330" s="5">
        <v>44636.0</v>
      </c>
      <c r="M1330" s="5">
        <v>44637.0</v>
      </c>
    </row>
    <row r="1331" hidden="1">
      <c r="A1331" s="1" t="s">
        <v>70</v>
      </c>
      <c r="B1331" s="1" t="s">
        <v>25</v>
      </c>
      <c r="C1331" s="1" t="s">
        <v>3595</v>
      </c>
      <c r="D1331" s="1" t="str">
        <f>Vlookup(C1331,'Oil &amp; Gas Documents - Canada'!F:M,2,FALSE)</f>
        <v>#N/A</v>
      </c>
      <c r="E1331" s="1" t="str">
        <f>Vlookup(C1331,'Oil &amp; Gas Documents - Canada'!F:N,9,FALSE)</f>
        <v>#N/A</v>
      </c>
      <c r="F1331" s="1" t="s">
        <v>3596</v>
      </c>
      <c r="G1331" s="4" t="str">
        <f>HYPERLINK("http://nimonikapp.com/legislations/293665","http://nimonikapp.com/legislations/293665")</f>
        <v>http://nimonikapp.com/legislations/293665</v>
      </c>
      <c r="H1331" s="1" t="s">
        <v>18</v>
      </c>
      <c r="I1331" s="1" t="s">
        <v>3963</v>
      </c>
      <c r="J1331" s="1" t="s">
        <v>3598</v>
      </c>
      <c r="K1331" s="5">
        <v>44646.0</v>
      </c>
      <c r="L1331" s="5">
        <v>44682.0</v>
      </c>
      <c r="M1331" s="5">
        <v>44637.0</v>
      </c>
      <c r="N1331" s="1" t="s">
        <v>3599</v>
      </c>
    </row>
    <row r="1332" hidden="1">
      <c r="A1332" s="1" t="s">
        <v>70</v>
      </c>
      <c r="B1332" s="1" t="s">
        <v>25</v>
      </c>
      <c r="C1332" s="1" t="s">
        <v>3502</v>
      </c>
      <c r="D1332" s="1" t="str">
        <f>Vlookup(C1332,'Oil &amp; Gas Documents - Canada'!F:M,2,FALSE)</f>
        <v>#N/A</v>
      </c>
      <c r="E1332" s="1" t="str">
        <f>Vlookup(C1332,'Oil &amp; Gas Documents - Canada'!F:N,9,FALSE)</f>
        <v>#N/A</v>
      </c>
      <c r="F1332" s="1" t="s">
        <v>3503</v>
      </c>
      <c r="G1332" s="4" t="str">
        <f>HYPERLINK("http://nimonikapp.com/legislations/193102","http://nimonikapp.com/legislations/193102")</f>
        <v>http://nimonikapp.com/legislations/193102</v>
      </c>
      <c r="H1332" s="1" t="s">
        <v>356</v>
      </c>
      <c r="I1332" s="1" t="s">
        <v>3964</v>
      </c>
      <c r="J1332" s="1" t="s">
        <v>3965</v>
      </c>
      <c r="K1332" s="5">
        <v>44646.0</v>
      </c>
      <c r="L1332" s="5">
        <v>44631.0</v>
      </c>
      <c r="M1332" s="5">
        <v>44637.0</v>
      </c>
      <c r="N1332" s="1" t="s">
        <v>3506</v>
      </c>
    </row>
    <row r="1333" hidden="1">
      <c r="A1333" s="1" t="s">
        <v>70</v>
      </c>
      <c r="B1333" s="1" t="s">
        <v>25</v>
      </c>
      <c r="C1333" s="1" t="s">
        <v>3966</v>
      </c>
      <c r="D1333" s="1" t="str">
        <f>Vlookup(C1333,'Oil &amp; Gas Documents - Canada'!F:M,2,FALSE)</f>
        <v>#N/A</v>
      </c>
      <c r="E1333" s="1" t="str">
        <f>Vlookup(C1333,'Oil &amp; Gas Documents - Canada'!F:N,9,FALSE)</f>
        <v>#N/A</v>
      </c>
      <c r="F1333" s="1" t="s">
        <v>3967</v>
      </c>
      <c r="G1333" s="4" t="str">
        <f>HYPERLINK("http://nimonikapp.com/legislations/1182","http://nimonikapp.com/legislations/1182")</f>
        <v>http://nimonikapp.com/legislations/1182</v>
      </c>
      <c r="H1333" s="1" t="s">
        <v>18</v>
      </c>
      <c r="I1333" s="1" t="s">
        <v>3968</v>
      </c>
      <c r="J1333" s="1" t="s">
        <v>3969</v>
      </c>
      <c r="K1333" s="5">
        <v>44653.0</v>
      </c>
      <c r="L1333" s="5">
        <v>44743.0</v>
      </c>
      <c r="M1333" s="5">
        <v>44637.0</v>
      </c>
      <c r="N1333" s="1" t="s">
        <v>3970</v>
      </c>
    </row>
    <row r="1334" hidden="1">
      <c r="A1334" s="1" t="s">
        <v>73</v>
      </c>
      <c r="B1334" s="1" t="s">
        <v>25</v>
      </c>
      <c r="C1334" s="1" t="s">
        <v>1023</v>
      </c>
      <c r="D1334" s="1" t="str">
        <f>Vlookup(C1334,'Oil &amp; Gas Documents - Canada'!F:M,2,FALSE)</f>
        <v>#N/A</v>
      </c>
      <c r="E1334" s="1" t="str">
        <f>Vlookup(C1334,'Oil &amp; Gas Documents - Canada'!F:N,9,FALSE)</f>
        <v>#N/A</v>
      </c>
      <c r="F1334" s="1" t="s">
        <v>1024</v>
      </c>
      <c r="G1334" s="4" t="str">
        <f>HYPERLINK("http://nimonikapp.com/legislations/280724","http://nimonikapp.com/legislations/280724")</f>
        <v>http://nimonikapp.com/legislations/280724</v>
      </c>
      <c r="H1334" s="1" t="s">
        <v>18</v>
      </c>
      <c r="I1334" s="1" t="s">
        <v>3971</v>
      </c>
      <c r="J1334" s="1" t="s">
        <v>3972</v>
      </c>
      <c r="K1334" s="5">
        <v>44636.0</v>
      </c>
      <c r="L1334" s="5">
        <v>44624.0</v>
      </c>
      <c r="M1334" s="5">
        <v>44637.0</v>
      </c>
      <c r="N1334" s="1" t="s">
        <v>1027</v>
      </c>
    </row>
    <row r="1335" hidden="1">
      <c r="A1335" s="1" t="s">
        <v>73</v>
      </c>
      <c r="B1335" s="1" t="s">
        <v>25</v>
      </c>
      <c r="C1335" s="1" t="s">
        <v>1028</v>
      </c>
      <c r="D1335" s="1" t="str">
        <f>Vlookup(C1335,'Oil &amp; Gas Documents - Canada'!F:M,2,FALSE)</f>
        <v>#N/A</v>
      </c>
      <c r="E1335" s="1" t="str">
        <f>Vlookup(C1335,'Oil &amp; Gas Documents - Canada'!F:N,9,FALSE)</f>
        <v>#N/A</v>
      </c>
      <c r="F1335" s="1" t="s">
        <v>1029</v>
      </c>
      <c r="G1335" s="4" t="str">
        <f>HYPERLINK("http://nimonikapp.com/legislations/162689","http://nimonikapp.com/legislations/162689")</f>
        <v>http://nimonikapp.com/legislations/162689</v>
      </c>
      <c r="H1335" s="1" t="s">
        <v>18</v>
      </c>
      <c r="I1335" s="1" t="s">
        <v>3971</v>
      </c>
      <c r="J1335" s="1" t="s">
        <v>3972</v>
      </c>
      <c r="K1335" s="5">
        <v>44636.0</v>
      </c>
      <c r="L1335" s="5">
        <v>44624.0</v>
      </c>
      <c r="M1335" s="5">
        <v>44637.0</v>
      </c>
      <c r="N1335" s="1" t="s">
        <v>1030</v>
      </c>
    </row>
    <row r="1336" hidden="1">
      <c r="A1336" s="1" t="s">
        <v>73</v>
      </c>
      <c r="B1336" s="1" t="s">
        <v>25</v>
      </c>
      <c r="C1336" s="1" t="s">
        <v>1031</v>
      </c>
      <c r="D1336" s="1" t="str">
        <f>Vlookup(C1336,'Oil &amp; Gas Documents - Canada'!F:M,2,FALSE)</f>
        <v>#N/A</v>
      </c>
      <c r="E1336" s="1" t="str">
        <f>Vlookup(C1336,'Oil &amp; Gas Documents - Canada'!F:N,9,FALSE)</f>
        <v>#N/A</v>
      </c>
      <c r="F1336" s="1" t="s">
        <v>1032</v>
      </c>
      <c r="G1336" s="4" t="str">
        <f>HYPERLINK("http://nimonikapp.com/legislations/1223","http://nimonikapp.com/legislations/1223")</f>
        <v>http://nimonikapp.com/legislations/1223</v>
      </c>
      <c r="H1336" s="1" t="s">
        <v>18</v>
      </c>
      <c r="I1336" s="1" t="s">
        <v>3971</v>
      </c>
      <c r="J1336" s="1" t="s">
        <v>3972</v>
      </c>
      <c r="K1336" s="5">
        <v>44636.0</v>
      </c>
      <c r="L1336" s="5">
        <v>44624.0</v>
      </c>
      <c r="M1336" s="5">
        <v>44637.0</v>
      </c>
      <c r="N1336" s="1" t="s">
        <v>1030</v>
      </c>
    </row>
    <row r="1337" hidden="1">
      <c r="A1337" s="1" t="s">
        <v>70</v>
      </c>
      <c r="B1337" s="1" t="s">
        <v>352</v>
      </c>
      <c r="C1337" s="1" t="s">
        <v>3973</v>
      </c>
      <c r="D1337" s="1" t="str">
        <f>Vlookup(C1337,'Oil &amp; Gas Documents - Canada'!F:M,2,FALSE)</f>
        <v>#N/A</v>
      </c>
      <c r="E1337" s="1" t="str">
        <f>Vlookup(C1337,'Oil &amp; Gas Documents - Canada'!F:N,9,FALSE)</f>
        <v>#N/A</v>
      </c>
      <c r="F1337" s="1" t="s">
        <v>3974</v>
      </c>
      <c r="G1337" s="4" t="str">
        <f>HYPERLINK("http://nimonikapp.com/legislations/310989","http://nimonikapp.com/legislations/310989")</f>
        <v>http://nimonikapp.com/legislations/310989</v>
      </c>
      <c r="H1337" s="1" t="s">
        <v>356</v>
      </c>
      <c r="I1337" s="1" t="s">
        <v>3975</v>
      </c>
      <c r="J1337" s="1" t="s">
        <v>3976</v>
      </c>
      <c r="K1337" s="5">
        <v>44646.0</v>
      </c>
      <c r="L1337" s="5">
        <v>44652.0</v>
      </c>
      <c r="M1337" s="5">
        <v>44637.0</v>
      </c>
      <c r="N1337" s="1" t="s">
        <v>3977</v>
      </c>
    </row>
    <row r="1338" hidden="1">
      <c r="A1338" s="1" t="s">
        <v>21</v>
      </c>
      <c r="B1338" s="1" t="s">
        <v>25</v>
      </c>
      <c r="C1338" s="1" t="s">
        <v>3978</v>
      </c>
      <c r="D1338" s="1" t="str">
        <f>Vlookup(C1338,'Oil &amp; Gas Documents - Canada'!F:M,2,FALSE)</f>
        <v>#N/A</v>
      </c>
      <c r="E1338" s="1" t="str">
        <f>Vlookup(C1338,'Oil &amp; Gas Documents - Canada'!F:N,9,FALSE)</f>
        <v>#N/A</v>
      </c>
      <c r="F1338" s="1" t="s">
        <v>3979</v>
      </c>
      <c r="G1338" s="4" t="str">
        <f>HYPERLINK("http://nimonikapp.com/legislations/316649","http://nimonikapp.com/legislations/316649")</f>
        <v>http://nimonikapp.com/legislations/316649</v>
      </c>
      <c r="H1338" s="1" t="s">
        <v>18</v>
      </c>
      <c r="I1338" s="1" t="s">
        <v>3980</v>
      </c>
      <c r="J1338" s="1" t="s">
        <v>3981</v>
      </c>
      <c r="K1338" s="5">
        <v>44635.0</v>
      </c>
      <c r="M1338" s="5">
        <v>44637.0</v>
      </c>
      <c r="N1338" s="1" t="s">
        <v>3982</v>
      </c>
    </row>
    <row r="1339" hidden="1">
      <c r="A1339" s="1" t="s">
        <v>21</v>
      </c>
      <c r="B1339" s="1" t="s">
        <v>25</v>
      </c>
      <c r="C1339" s="1" t="s">
        <v>3983</v>
      </c>
      <c r="D1339" s="1" t="str">
        <f>Vlookup(C1339,'Oil &amp; Gas Documents - Canada'!F:M,2,FALSE)</f>
        <v>#N/A</v>
      </c>
      <c r="E1339" s="1" t="str">
        <f>Vlookup(C1339,'Oil &amp; Gas Documents - Canada'!F:N,9,FALSE)</f>
        <v>#N/A</v>
      </c>
      <c r="F1339" s="1" t="s">
        <v>3984</v>
      </c>
      <c r="G1339" s="4" t="str">
        <f>HYPERLINK("http://nimonikapp.com/legislations/105983","http://nimonikapp.com/legislations/105983")</f>
        <v>http://nimonikapp.com/legislations/105983</v>
      </c>
      <c r="H1339" s="1" t="s">
        <v>18</v>
      </c>
      <c r="I1339" s="1" t="s">
        <v>3985</v>
      </c>
      <c r="J1339" s="1" t="s">
        <v>3986</v>
      </c>
      <c r="K1339" s="5">
        <v>44635.0</v>
      </c>
      <c r="L1339" s="5">
        <v>44615.0</v>
      </c>
      <c r="M1339" s="5">
        <v>44637.0</v>
      </c>
    </row>
    <row r="1340" hidden="1">
      <c r="A1340" s="1" t="s">
        <v>21</v>
      </c>
      <c r="B1340" s="1" t="s">
        <v>25</v>
      </c>
      <c r="C1340" s="1" t="s">
        <v>1296</v>
      </c>
      <c r="D1340" s="1" t="str">
        <f>Vlookup(C1340,'Oil &amp; Gas Documents - Canada'!F:M,2,FALSE)</f>
        <v>#N/A</v>
      </c>
      <c r="E1340" s="1" t="str">
        <f>Vlookup(C1340,'Oil &amp; Gas Documents - Canada'!F:N,9,FALSE)</f>
        <v>#N/A</v>
      </c>
      <c r="F1340" s="1" t="s">
        <v>1297</v>
      </c>
      <c r="G1340" s="4" t="str">
        <f>HYPERLINK("http://nimonikapp.com/legislations/6990","http://nimonikapp.com/legislations/6990")</f>
        <v>http://nimonikapp.com/legislations/6990</v>
      </c>
      <c r="H1340" s="1" t="s">
        <v>18</v>
      </c>
      <c r="I1340" s="1" t="s">
        <v>3987</v>
      </c>
      <c r="J1340" s="1" t="s">
        <v>3988</v>
      </c>
      <c r="K1340" s="5">
        <v>44635.0</v>
      </c>
      <c r="L1340" s="5">
        <v>44615.0</v>
      </c>
      <c r="M1340" s="5">
        <v>44637.0</v>
      </c>
      <c r="N1340" s="1" t="s">
        <v>1298</v>
      </c>
    </row>
    <row r="1341" hidden="1">
      <c r="A1341" s="1" t="s">
        <v>21</v>
      </c>
      <c r="B1341" s="1" t="s">
        <v>25</v>
      </c>
      <c r="C1341" s="1" t="s">
        <v>1299</v>
      </c>
      <c r="D1341" s="1" t="str">
        <f>Vlookup(C1341,'Oil &amp; Gas Documents - Canada'!F:M,2,FALSE)</f>
        <v>#N/A</v>
      </c>
      <c r="E1341" s="1" t="str">
        <f>Vlookup(C1341,'Oil &amp; Gas Documents - Canada'!F:N,9,FALSE)</f>
        <v>#N/A</v>
      </c>
      <c r="F1341" s="1" t="s">
        <v>1300</v>
      </c>
      <c r="G1341" s="4" t="str">
        <f>HYPERLINK("http://nimonikapp.com/legislations/4027","http://nimonikapp.com/legislations/4027")</f>
        <v>http://nimonikapp.com/legislations/4027</v>
      </c>
      <c r="H1341" s="1" t="s">
        <v>18</v>
      </c>
      <c r="I1341" s="1" t="s">
        <v>3989</v>
      </c>
      <c r="J1341" s="1" t="s">
        <v>1585</v>
      </c>
      <c r="K1341" s="5">
        <v>44635.0</v>
      </c>
      <c r="L1341" s="5">
        <v>44645.0</v>
      </c>
      <c r="M1341" s="5">
        <v>44637.0</v>
      </c>
      <c r="N1341" s="1" t="s">
        <v>1301</v>
      </c>
    </row>
    <row r="1342" hidden="1">
      <c r="A1342" s="1" t="s">
        <v>21</v>
      </c>
      <c r="B1342" s="1" t="s">
        <v>25</v>
      </c>
      <c r="C1342" s="1" t="s">
        <v>2990</v>
      </c>
      <c r="D1342" s="1" t="str">
        <f>Vlookup(C1342,'Oil &amp; Gas Documents - Canada'!F:M,2,FALSE)</f>
        <v>#N/A</v>
      </c>
      <c r="E1342" s="1" t="str">
        <f>Vlookup(C1342,'Oil &amp; Gas Documents - Canada'!F:N,9,FALSE)</f>
        <v>#N/A</v>
      </c>
      <c r="F1342" s="1" t="s">
        <v>2991</v>
      </c>
      <c r="G1342" s="4" t="str">
        <f>HYPERLINK("http://nimonikapp.com/legislations/16155","http://nimonikapp.com/legislations/16155")</f>
        <v>http://nimonikapp.com/legislations/16155</v>
      </c>
      <c r="H1342" s="1" t="s">
        <v>18</v>
      </c>
      <c r="I1342" s="1" t="s">
        <v>3990</v>
      </c>
      <c r="J1342" s="1" t="s">
        <v>3991</v>
      </c>
      <c r="K1342" s="5">
        <v>44635.0</v>
      </c>
      <c r="L1342" s="5">
        <v>44617.0</v>
      </c>
      <c r="M1342" s="5">
        <v>44637.0</v>
      </c>
    </row>
    <row r="1343">
      <c r="A1343" s="1" t="s">
        <v>21</v>
      </c>
      <c r="B1343" s="1" t="s">
        <v>25</v>
      </c>
      <c r="C1343" s="1" t="s">
        <v>638</v>
      </c>
      <c r="D1343" s="1" t="str">
        <f>Vlookup(C1343,'Oil &amp; Gas Documents - Canada'!F:M,2,FALSE)</f>
        <v>general, oil_and_gas, mining_and_minerals_industry</v>
      </c>
      <c r="E1343" s="1" t="str">
        <f>Vlookup(C1343,'Oil &amp; Gas Documents - Canada'!F:N,9,FALSE)</f>
        <v/>
      </c>
      <c r="F1343" s="1" t="s">
        <v>637</v>
      </c>
      <c r="G1343" s="4" t="str">
        <f>HYPERLINK("http://nimonikapp.com/legislations/4100","http://nimonikapp.com/legislations/4100")</f>
        <v>http://nimonikapp.com/legislations/4100</v>
      </c>
      <c r="H1343" s="1" t="s">
        <v>18</v>
      </c>
      <c r="I1343" s="1" t="s">
        <v>639</v>
      </c>
      <c r="J1343" s="1" t="s">
        <v>640</v>
      </c>
      <c r="K1343" s="5">
        <v>44635.0</v>
      </c>
      <c r="L1343" s="5">
        <v>44615.0</v>
      </c>
      <c r="M1343" s="5">
        <v>44637.0</v>
      </c>
    </row>
    <row r="1344" hidden="1">
      <c r="A1344" s="1" t="s">
        <v>21</v>
      </c>
      <c r="B1344" s="1" t="s">
        <v>25</v>
      </c>
      <c r="C1344" s="1" t="s">
        <v>1979</v>
      </c>
      <c r="D1344" s="1" t="str">
        <f>Vlookup(C1344,'Oil &amp; Gas Documents - Canada'!F:M,2,FALSE)</f>
        <v>#N/A</v>
      </c>
      <c r="E1344" s="1" t="str">
        <f>Vlookup(C1344,'Oil &amp; Gas Documents - Canada'!F:N,9,FALSE)</f>
        <v>#N/A</v>
      </c>
      <c r="F1344" s="1" t="s">
        <v>1980</v>
      </c>
      <c r="G1344" s="4" t="str">
        <f>HYPERLINK("http://nimonikapp.com/legislations/116388","http://nimonikapp.com/legislations/116388")</f>
        <v>http://nimonikapp.com/legislations/116388</v>
      </c>
      <c r="H1344" s="1" t="s">
        <v>18</v>
      </c>
      <c r="I1344" s="1" t="s">
        <v>3992</v>
      </c>
      <c r="J1344" s="1" t="s">
        <v>3993</v>
      </c>
      <c r="K1344" s="5">
        <v>44635.0</v>
      </c>
      <c r="L1344" s="5">
        <v>44617.0</v>
      </c>
      <c r="M1344" s="5">
        <v>44637.0</v>
      </c>
      <c r="N1344" s="1" t="s">
        <v>1983</v>
      </c>
    </row>
    <row r="1345" hidden="1">
      <c r="A1345" s="1" t="s">
        <v>21</v>
      </c>
      <c r="B1345" s="1" t="s">
        <v>25</v>
      </c>
      <c r="C1345" s="1" t="s">
        <v>3994</v>
      </c>
      <c r="D1345" s="1" t="str">
        <f>Vlookup(C1345,'Oil &amp; Gas Documents - Canada'!F:M,2,FALSE)</f>
        <v>#N/A</v>
      </c>
      <c r="E1345" s="1" t="str">
        <f>Vlookup(C1345,'Oil &amp; Gas Documents - Canada'!F:N,9,FALSE)</f>
        <v>#N/A</v>
      </c>
      <c r="F1345" s="1" t="s">
        <v>3995</v>
      </c>
      <c r="G1345" s="4" t="str">
        <f>HYPERLINK("http://nimonikapp.com/legislations/10312","http://nimonikapp.com/legislations/10312")</f>
        <v>http://nimonikapp.com/legislations/10312</v>
      </c>
      <c r="H1345" s="1" t="s">
        <v>18</v>
      </c>
      <c r="I1345" s="1" t="s">
        <v>3996</v>
      </c>
      <c r="J1345" s="1" t="s">
        <v>3997</v>
      </c>
      <c r="K1345" s="5">
        <v>44635.0</v>
      </c>
      <c r="M1345" s="5">
        <v>44637.0</v>
      </c>
      <c r="N1345" s="1" t="s">
        <v>3998</v>
      </c>
    </row>
    <row r="1346" hidden="1">
      <c r="A1346" s="1" t="s">
        <v>21</v>
      </c>
      <c r="B1346" s="1" t="s">
        <v>25</v>
      </c>
      <c r="C1346" s="1" t="s">
        <v>3999</v>
      </c>
      <c r="D1346" s="1" t="str">
        <f>Vlookup(C1346,'Oil &amp; Gas Documents - Canada'!F:M,2,FALSE)</f>
        <v>#N/A</v>
      </c>
      <c r="E1346" s="1" t="str">
        <f>Vlookup(C1346,'Oil &amp; Gas Documents - Canada'!F:N,9,FALSE)</f>
        <v>#N/A</v>
      </c>
      <c r="F1346" s="1" t="s">
        <v>4000</v>
      </c>
      <c r="G1346" s="4" t="str">
        <f>HYPERLINK("http://nimonikapp.com/legislations/216","http://nimonikapp.com/legislations/216")</f>
        <v>http://nimonikapp.com/legislations/216</v>
      </c>
      <c r="H1346" s="1" t="s">
        <v>18</v>
      </c>
      <c r="I1346" s="1" t="s">
        <v>3996</v>
      </c>
      <c r="J1346" s="1" t="s">
        <v>3997</v>
      </c>
      <c r="K1346" s="5">
        <v>44635.0</v>
      </c>
      <c r="M1346" s="5">
        <v>44637.0</v>
      </c>
      <c r="N1346" s="1" t="s">
        <v>3998</v>
      </c>
    </row>
    <row r="1347" hidden="1">
      <c r="A1347" s="1" t="s">
        <v>70</v>
      </c>
      <c r="B1347" s="1" t="s">
        <v>15</v>
      </c>
      <c r="C1347" s="1" t="s">
        <v>4001</v>
      </c>
      <c r="D1347" s="1" t="str">
        <f>Vlookup(C1347,'Oil &amp; Gas Documents - Canada'!F:M,2,FALSE)</f>
        <v>#N/A</v>
      </c>
      <c r="E1347" s="1" t="str">
        <f>Vlookup(C1347,'Oil &amp; Gas Documents - Canada'!F:N,9,FALSE)</f>
        <v>#N/A</v>
      </c>
      <c r="F1347" s="1" t="s">
        <v>4002</v>
      </c>
      <c r="G1347" s="4" t="str">
        <f>HYPERLINK("http://nimonikapp.com/legislations/338443","http://nimonikapp.com/legislations/338443")</f>
        <v>http://nimonikapp.com/legislations/338443</v>
      </c>
      <c r="H1347" s="1" t="s">
        <v>18</v>
      </c>
      <c r="K1347" s="5">
        <v>44646.0</v>
      </c>
      <c r="L1347" s="5">
        <v>44652.0</v>
      </c>
      <c r="M1347" s="5">
        <v>44635.0</v>
      </c>
    </row>
    <row r="1348" hidden="1">
      <c r="A1348" s="1" t="s">
        <v>73</v>
      </c>
      <c r="B1348" s="1" t="s">
        <v>15</v>
      </c>
      <c r="C1348" s="1" t="s">
        <v>4003</v>
      </c>
      <c r="D1348" s="1" t="str">
        <f>Vlookup(C1348,'Oil &amp; Gas Documents - Canada'!F:M,2,FALSE)</f>
        <v>#N/A</v>
      </c>
      <c r="E1348" s="1" t="str">
        <f>Vlookup(C1348,'Oil &amp; Gas Documents - Canada'!F:N,9,FALSE)</f>
        <v>#N/A</v>
      </c>
      <c r="F1348" s="1" t="s">
        <v>4004</v>
      </c>
      <c r="G1348" s="4" t="str">
        <f>HYPERLINK("http://nimonikapp.com/legislations/338391","http://nimonikapp.com/legislations/338391")</f>
        <v>http://nimonikapp.com/legislations/338391</v>
      </c>
      <c r="H1348" s="1" t="s">
        <v>516</v>
      </c>
      <c r="K1348" s="5">
        <v>44632.0</v>
      </c>
      <c r="M1348" s="5">
        <v>44635.0</v>
      </c>
    </row>
    <row r="1349" hidden="1">
      <c r="A1349" s="1" t="s">
        <v>73</v>
      </c>
      <c r="B1349" s="1" t="s">
        <v>364</v>
      </c>
      <c r="C1349" s="1" t="s">
        <v>4005</v>
      </c>
      <c r="D1349" s="1" t="str">
        <f>Vlookup(C1349,'Oil &amp; Gas Documents - Canada'!F:M,2,FALSE)</f>
        <v>#N/A</v>
      </c>
      <c r="E1349" s="1" t="str">
        <f>Vlookup(C1349,'Oil &amp; Gas Documents - Canada'!F:N,9,FALSE)</f>
        <v>#N/A</v>
      </c>
      <c r="F1349" s="1" t="s">
        <v>4006</v>
      </c>
      <c r="G1349" s="4" t="str">
        <f>HYPERLINK("http://nimonikapp.com/legislations/336657","http://nimonikapp.com/legislations/336657")</f>
        <v>http://nimonikapp.com/legislations/336657</v>
      </c>
      <c r="H1349" s="1" t="s">
        <v>356</v>
      </c>
      <c r="I1349" s="1" t="s">
        <v>3948</v>
      </c>
      <c r="J1349" s="1" t="s">
        <v>3949</v>
      </c>
      <c r="K1349" s="5">
        <v>44632.0</v>
      </c>
      <c r="L1349" s="5">
        <v>44615.0</v>
      </c>
      <c r="M1349" s="5">
        <v>44635.0</v>
      </c>
      <c r="N1349" s="1" t="s">
        <v>4007</v>
      </c>
    </row>
    <row r="1350">
      <c r="A1350" s="1" t="s">
        <v>202</v>
      </c>
      <c r="B1350" s="1" t="s">
        <v>25</v>
      </c>
      <c r="C1350" s="1" t="s">
        <v>642</v>
      </c>
      <c r="D1350" s="1" t="str">
        <f>Vlookup(C1350,'Oil &amp; Gas Documents - Canada'!F:M,2,FALSE)</f>
        <v>oil_and_gas</v>
      </c>
      <c r="E1350" s="1" t="str">
        <f>Vlookup(C1350,'Oil &amp; Gas Documents - Canada'!F:N,9,FALSE)</f>
        <v/>
      </c>
      <c r="F1350" s="1" t="s">
        <v>641</v>
      </c>
      <c r="G1350" s="4" t="str">
        <f>HYPERLINK("http://nimonikapp.com/legislations/117100","http://nimonikapp.com/legislations/117100")</f>
        <v>http://nimonikapp.com/legislations/117100</v>
      </c>
      <c r="H1350" s="1" t="s">
        <v>18</v>
      </c>
      <c r="I1350" s="1" t="s">
        <v>644</v>
      </c>
      <c r="J1350" s="1" t="s">
        <v>645</v>
      </c>
      <c r="K1350" s="5">
        <v>44632.0</v>
      </c>
      <c r="M1350" s="5">
        <v>44635.0</v>
      </c>
      <c r="N1350" s="1" t="s">
        <v>643</v>
      </c>
    </row>
    <row r="1351">
      <c r="A1351" s="1" t="s">
        <v>202</v>
      </c>
      <c r="B1351" s="1" t="s">
        <v>25</v>
      </c>
      <c r="C1351" s="1" t="s">
        <v>647</v>
      </c>
      <c r="D1351" s="1" t="str">
        <f>Vlookup(C1351,'Oil &amp; Gas Documents - Canada'!F:M,2,FALSE)</f>
        <v>oil_and_gas</v>
      </c>
      <c r="E1351" s="1" t="str">
        <f>Vlookup(C1351,'Oil &amp; Gas Documents - Canada'!F:N,9,FALSE)</f>
        <v/>
      </c>
      <c r="F1351" s="1" t="s">
        <v>646</v>
      </c>
      <c r="G1351" s="4" t="str">
        <f>HYPERLINK("http://nimonikapp.com/legislations/117101","http://nimonikapp.com/legislations/117101")</f>
        <v>http://nimonikapp.com/legislations/117101</v>
      </c>
      <c r="H1351" s="1" t="s">
        <v>18</v>
      </c>
      <c r="I1351" s="1" t="s">
        <v>648</v>
      </c>
      <c r="J1351" s="1" t="s">
        <v>649</v>
      </c>
      <c r="K1351" s="5">
        <v>44632.0</v>
      </c>
      <c r="M1351" s="5">
        <v>44635.0</v>
      </c>
      <c r="N1351" s="1" t="s">
        <v>643</v>
      </c>
    </row>
    <row r="1352" hidden="1">
      <c r="A1352" s="1" t="s">
        <v>202</v>
      </c>
      <c r="B1352" s="1" t="s">
        <v>25</v>
      </c>
      <c r="C1352" s="1" t="s">
        <v>4008</v>
      </c>
      <c r="D1352" s="1" t="str">
        <f>Vlookup(C1352,'Oil &amp; Gas Documents - Canada'!F:M,2,FALSE)</f>
        <v>#N/A</v>
      </c>
      <c r="E1352" s="1" t="str">
        <f>Vlookup(C1352,'Oil &amp; Gas Documents - Canada'!F:N,9,FALSE)</f>
        <v>#N/A</v>
      </c>
      <c r="F1352" s="1" t="s">
        <v>4009</v>
      </c>
      <c r="G1352" s="4" t="str">
        <f>HYPERLINK("http://nimonikapp.com/legislations/7073","http://nimonikapp.com/legislations/7073")</f>
        <v>http://nimonikapp.com/legislations/7073</v>
      </c>
      <c r="H1352" s="1" t="s">
        <v>18</v>
      </c>
      <c r="I1352" s="1" t="s">
        <v>4010</v>
      </c>
      <c r="J1352" s="1" t="s">
        <v>4011</v>
      </c>
      <c r="K1352" s="5">
        <v>44632.0</v>
      </c>
      <c r="M1352" s="5">
        <v>44635.0</v>
      </c>
      <c r="N1352" s="1" t="s">
        <v>4012</v>
      </c>
    </row>
    <row r="1353">
      <c r="A1353" s="1" t="s">
        <v>202</v>
      </c>
      <c r="B1353" s="1" t="s">
        <v>25</v>
      </c>
      <c r="C1353" s="1" t="s">
        <v>651</v>
      </c>
      <c r="D1353" s="1" t="str">
        <f>Vlookup(C1353,'Oil &amp; Gas Documents - Canada'!F:M,2,FALSE)</f>
        <v>oil_and_gas</v>
      </c>
      <c r="E1353" s="1" t="str">
        <f>Vlookup(C1353,'Oil &amp; Gas Documents - Canada'!F:N,9,FALSE)</f>
        <v/>
      </c>
      <c r="F1353" s="1" t="s">
        <v>650</v>
      </c>
      <c r="G1353" s="4" t="str">
        <f>HYPERLINK("http://nimonikapp.com/legislations/117267","http://nimonikapp.com/legislations/117267")</f>
        <v>http://nimonikapp.com/legislations/117267</v>
      </c>
      <c r="H1353" s="1" t="s">
        <v>18</v>
      </c>
      <c r="I1353" s="1" t="s">
        <v>652</v>
      </c>
      <c r="J1353" s="1" t="s">
        <v>653</v>
      </c>
      <c r="K1353" s="5">
        <v>44632.0</v>
      </c>
      <c r="M1353" s="5">
        <v>44635.0</v>
      </c>
      <c r="N1353" s="1" t="s">
        <v>643</v>
      </c>
    </row>
    <row r="1354" hidden="1">
      <c r="A1354" s="1" t="s">
        <v>202</v>
      </c>
      <c r="B1354" s="1" t="s">
        <v>25</v>
      </c>
      <c r="C1354" s="1" t="s">
        <v>4013</v>
      </c>
      <c r="D1354" s="1" t="str">
        <f>Vlookup(C1354,'Oil &amp; Gas Documents - Canada'!F:M,2,FALSE)</f>
        <v>#N/A</v>
      </c>
      <c r="E1354" s="1" t="str">
        <f>Vlookup(C1354,'Oil &amp; Gas Documents - Canada'!F:N,9,FALSE)</f>
        <v>#N/A</v>
      </c>
      <c r="F1354" s="1" t="s">
        <v>4014</v>
      </c>
      <c r="G1354" s="4" t="str">
        <f>HYPERLINK("http://nimonikapp.com/legislations/127529","http://nimonikapp.com/legislations/127529")</f>
        <v>http://nimonikapp.com/legislations/127529</v>
      </c>
      <c r="H1354" s="1" t="s">
        <v>18</v>
      </c>
      <c r="I1354" s="1" t="s">
        <v>4015</v>
      </c>
      <c r="J1354" s="1" t="s">
        <v>4016</v>
      </c>
      <c r="K1354" s="5">
        <v>44632.0</v>
      </c>
      <c r="M1354" s="5">
        <v>44635.0</v>
      </c>
      <c r="N1354" s="1" t="s">
        <v>4017</v>
      </c>
    </row>
    <row r="1355" hidden="1">
      <c r="A1355" s="1" t="s">
        <v>202</v>
      </c>
      <c r="B1355" s="1" t="s">
        <v>25</v>
      </c>
      <c r="C1355" s="1" t="s">
        <v>1757</v>
      </c>
      <c r="D1355" s="1" t="str">
        <f>Vlookup(C1355,'Oil &amp; Gas Documents - Canada'!F:M,2,FALSE)</f>
        <v>#N/A</v>
      </c>
      <c r="E1355" s="1" t="str">
        <f>Vlookup(C1355,'Oil &amp; Gas Documents - Canada'!F:N,9,FALSE)</f>
        <v>#N/A</v>
      </c>
      <c r="F1355" s="1" t="s">
        <v>1758</v>
      </c>
      <c r="G1355" s="4" t="str">
        <f>HYPERLINK("http://nimonikapp.com/legislations/98078","http://nimonikapp.com/legislations/98078")</f>
        <v>http://nimonikapp.com/legislations/98078</v>
      </c>
      <c r="H1355" s="1" t="s">
        <v>18</v>
      </c>
      <c r="I1355" s="1" t="s">
        <v>4018</v>
      </c>
      <c r="J1355" s="1" t="s">
        <v>4019</v>
      </c>
      <c r="K1355" s="5">
        <v>44632.0</v>
      </c>
      <c r="M1355" s="5">
        <v>44635.0</v>
      </c>
      <c r="N1355" s="1" t="s">
        <v>1761</v>
      </c>
    </row>
    <row r="1356" hidden="1">
      <c r="A1356" s="1" t="s">
        <v>70</v>
      </c>
      <c r="B1356" s="1" t="s">
        <v>25</v>
      </c>
      <c r="C1356" s="1" t="s">
        <v>1806</v>
      </c>
      <c r="D1356" s="1" t="str">
        <f>Vlookup(C1356,'Oil &amp; Gas Documents - Canada'!F:M,2,FALSE)</f>
        <v>#N/A</v>
      </c>
      <c r="E1356" s="1" t="str">
        <f>Vlookup(C1356,'Oil &amp; Gas Documents - Canada'!F:N,9,FALSE)</f>
        <v>#N/A</v>
      </c>
      <c r="F1356" s="1" t="s">
        <v>1807</v>
      </c>
      <c r="G1356" s="4" t="str">
        <f>HYPERLINK("http://nimonikapp.com/legislations/128","http://nimonikapp.com/legislations/128")</f>
        <v>http://nimonikapp.com/legislations/128</v>
      </c>
      <c r="H1356" s="1" t="s">
        <v>18</v>
      </c>
      <c r="I1356" s="1" t="s">
        <v>4020</v>
      </c>
      <c r="J1356" s="1" t="s">
        <v>4021</v>
      </c>
      <c r="K1356" s="5">
        <v>44632.0</v>
      </c>
      <c r="M1356" s="5">
        <v>44635.0</v>
      </c>
      <c r="N1356" s="1" t="s">
        <v>1810</v>
      </c>
    </row>
    <row r="1357" hidden="1">
      <c r="A1357" s="1" t="s">
        <v>70</v>
      </c>
      <c r="B1357" s="1" t="s">
        <v>25</v>
      </c>
      <c r="C1357" s="1" t="s">
        <v>4022</v>
      </c>
      <c r="D1357" s="1" t="str">
        <f>Vlookup(C1357,'Oil &amp; Gas Documents - Canada'!F:M,2,FALSE)</f>
        <v>#N/A</v>
      </c>
      <c r="E1357" s="1" t="str">
        <f>Vlookup(C1357,'Oil &amp; Gas Documents - Canada'!F:N,9,FALSE)</f>
        <v>#N/A</v>
      </c>
      <c r="F1357" s="1" t="s">
        <v>4023</v>
      </c>
      <c r="G1357" s="4" t="str">
        <f>HYPERLINK("http://nimonikapp.com/legislations/585","http://nimonikapp.com/legislations/585")</f>
        <v>http://nimonikapp.com/legislations/585</v>
      </c>
      <c r="H1357" s="1" t="s">
        <v>18</v>
      </c>
      <c r="I1357" s="1" t="s">
        <v>4020</v>
      </c>
      <c r="J1357" s="1" t="s">
        <v>4021</v>
      </c>
      <c r="K1357" s="5">
        <v>44632.0</v>
      </c>
      <c r="M1357" s="5">
        <v>44635.0</v>
      </c>
      <c r="N1357" s="1" t="s">
        <v>4024</v>
      </c>
    </row>
    <row r="1358" hidden="1">
      <c r="A1358" s="1" t="s">
        <v>70</v>
      </c>
      <c r="B1358" s="1" t="s">
        <v>25</v>
      </c>
      <c r="C1358" s="1" t="s">
        <v>3112</v>
      </c>
      <c r="D1358" s="1" t="str">
        <f>Vlookup(C1358,'Oil &amp; Gas Documents - Canada'!F:M,2,FALSE)</f>
        <v>#N/A</v>
      </c>
      <c r="E1358" s="1" t="str">
        <f>Vlookup(C1358,'Oil &amp; Gas Documents - Canada'!F:N,9,FALSE)</f>
        <v>#N/A</v>
      </c>
      <c r="F1358" s="1" t="s">
        <v>1328</v>
      </c>
      <c r="G1358" s="4" t="str">
        <f>HYPERLINK("http://nimonikapp.com/legislations/416","http://nimonikapp.com/legislations/416")</f>
        <v>http://nimonikapp.com/legislations/416</v>
      </c>
      <c r="H1358" s="1" t="s">
        <v>18</v>
      </c>
      <c r="I1358" s="1" t="s">
        <v>4025</v>
      </c>
      <c r="J1358" s="1" t="s">
        <v>4026</v>
      </c>
      <c r="K1358" s="5">
        <v>44632.0</v>
      </c>
      <c r="M1358" s="5">
        <v>44635.0</v>
      </c>
      <c r="N1358" s="1" t="s">
        <v>3115</v>
      </c>
    </row>
    <row r="1359" hidden="1">
      <c r="A1359" s="1" t="s">
        <v>70</v>
      </c>
      <c r="B1359" s="1" t="s">
        <v>352</v>
      </c>
      <c r="C1359" s="1" t="s">
        <v>4027</v>
      </c>
      <c r="D1359" s="1" t="str">
        <f>Vlookup(C1359,'Oil &amp; Gas Documents - Canada'!F:M,2,FALSE)</f>
        <v>#N/A</v>
      </c>
      <c r="E1359" s="1" t="str">
        <f>Vlookup(C1359,'Oil &amp; Gas Documents - Canada'!F:N,9,FALSE)</f>
        <v>#N/A</v>
      </c>
      <c r="F1359" s="1" t="s">
        <v>4028</v>
      </c>
      <c r="G1359" s="4" t="str">
        <f>HYPERLINK("http://nimonikapp.com/legislations/161255","http://nimonikapp.com/legislations/161255")</f>
        <v>http://nimonikapp.com/legislations/161255</v>
      </c>
      <c r="H1359" s="1" t="s">
        <v>356</v>
      </c>
      <c r="I1359" s="1" t="s">
        <v>4029</v>
      </c>
      <c r="J1359" s="1" t="s">
        <v>3505</v>
      </c>
      <c r="K1359" s="5">
        <v>44646.0</v>
      </c>
      <c r="L1359" s="5">
        <v>44636.0</v>
      </c>
      <c r="M1359" s="5">
        <v>44635.0</v>
      </c>
      <c r="N1359" s="1" t="s">
        <v>4030</v>
      </c>
    </row>
    <row r="1360" hidden="1">
      <c r="A1360" s="1" t="s">
        <v>70</v>
      </c>
      <c r="B1360" s="1" t="s">
        <v>352</v>
      </c>
      <c r="C1360" s="1" t="s">
        <v>4031</v>
      </c>
      <c r="D1360" s="1" t="str">
        <f>Vlookup(C1360,'Oil &amp; Gas Documents - Canada'!F:M,2,FALSE)</f>
        <v>#N/A</v>
      </c>
      <c r="E1360" s="1" t="str">
        <f>Vlookup(C1360,'Oil &amp; Gas Documents - Canada'!F:N,9,FALSE)</f>
        <v>#N/A</v>
      </c>
      <c r="F1360" s="1" t="s">
        <v>4032</v>
      </c>
      <c r="G1360" s="4" t="str">
        <f>HYPERLINK("http://nimonikapp.com/legislations/193103","http://nimonikapp.com/legislations/193103")</f>
        <v>http://nimonikapp.com/legislations/193103</v>
      </c>
      <c r="H1360" s="1" t="s">
        <v>356</v>
      </c>
      <c r="I1360" s="1" t="s">
        <v>4029</v>
      </c>
      <c r="J1360" s="1" t="s">
        <v>3505</v>
      </c>
      <c r="K1360" s="5">
        <v>44646.0</v>
      </c>
      <c r="L1360" s="5">
        <v>44636.0</v>
      </c>
      <c r="M1360" s="5">
        <v>44635.0</v>
      </c>
      <c r="N1360" s="1" t="s">
        <v>4030</v>
      </c>
    </row>
    <row r="1361" hidden="1">
      <c r="A1361" s="1" t="s">
        <v>70</v>
      </c>
      <c r="B1361" s="1" t="s">
        <v>25</v>
      </c>
      <c r="C1361" s="1" t="s">
        <v>4033</v>
      </c>
      <c r="D1361" s="1" t="str">
        <f>Vlookup(C1361,'Oil &amp; Gas Documents - Canada'!F:M,2,FALSE)</f>
        <v>#N/A</v>
      </c>
      <c r="E1361" s="1" t="str">
        <f>Vlookup(C1361,'Oil &amp; Gas Documents - Canada'!F:N,9,FALSE)</f>
        <v>#N/A</v>
      </c>
      <c r="F1361" s="1" t="s">
        <v>4034</v>
      </c>
      <c r="G1361" s="4" t="str">
        <f>HYPERLINK("http://nimonikapp.com/legislations/103531","http://nimonikapp.com/legislations/103531")</f>
        <v>http://nimonikapp.com/legislations/103531</v>
      </c>
      <c r="H1361" s="1" t="s">
        <v>18</v>
      </c>
      <c r="I1361" s="1" t="s">
        <v>4035</v>
      </c>
      <c r="J1361" s="1" t="s">
        <v>4036</v>
      </c>
      <c r="K1361" s="5">
        <v>44632.0</v>
      </c>
      <c r="M1361" s="5">
        <v>44635.0</v>
      </c>
    </row>
    <row r="1362" hidden="1">
      <c r="A1362" s="1" t="s">
        <v>70</v>
      </c>
      <c r="B1362" s="1" t="s">
        <v>25</v>
      </c>
      <c r="C1362" s="1" t="s">
        <v>3413</v>
      </c>
      <c r="D1362" s="1" t="str">
        <f>Vlookup(C1362,'Oil &amp; Gas Documents - Canada'!F:M,2,FALSE)</f>
        <v>#N/A</v>
      </c>
      <c r="E1362" s="1" t="str">
        <f>Vlookup(C1362,'Oil &amp; Gas Documents - Canada'!F:N,9,FALSE)</f>
        <v>#N/A</v>
      </c>
      <c r="F1362" s="1" t="s">
        <v>3414</v>
      </c>
      <c r="G1362" s="4" t="str">
        <f>HYPERLINK("http://nimonikapp.com/legislations/2365","http://nimonikapp.com/legislations/2365")</f>
        <v>http://nimonikapp.com/legislations/2365</v>
      </c>
      <c r="H1362" s="1" t="s">
        <v>18</v>
      </c>
      <c r="I1362" s="1" t="s">
        <v>4037</v>
      </c>
      <c r="J1362" s="1" t="s">
        <v>3416</v>
      </c>
      <c r="K1362" s="5">
        <v>44646.0</v>
      </c>
      <c r="L1362" s="5">
        <v>44630.0</v>
      </c>
      <c r="M1362" s="5">
        <v>44635.0</v>
      </c>
      <c r="N1362" s="1" t="s">
        <v>3417</v>
      </c>
    </row>
    <row r="1363" hidden="1">
      <c r="A1363" s="1" t="s">
        <v>70</v>
      </c>
      <c r="B1363" s="1" t="s">
        <v>25</v>
      </c>
      <c r="C1363" s="1" t="s">
        <v>4038</v>
      </c>
      <c r="D1363" s="1" t="str">
        <f>Vlookup(C1363,'Oil &amp; Gas Documents - Canada'!F:M,2,FALSE)</f>
        <v>#N/A</v>
      </c>
      <c r="E1363" s="1" t="str">
        <f>Vlookup(C1363,'Oil &amp; Gas Documents - Canada'!F:N,9,FALSE)</f>
        <v>#N/A</v>
      </c>
      <c r="F1363" s="1" t="s">
        <v>4039</v>
      </c>
      <c r="G1363" s="4" t="str">
        <f>HYPERLINK("http://nimonikapp.com/legislations/116965","http://nimonikapp.com/legislations/116965")</f>
        <v>http://nimonikapp.com/legislations/116965</v>
      </c>
      <c r="H1363" s="1" t="s">
        <v>18</v>
      </c>
      <c r="I1363" s="1" t="s">
        <v>4040</v>
      </c>
      <c r="J1363" s="1" t="s">
        <v>4041</v>
      </c>
      <c r="K1363" s="5">
        <v>44646.0</v>
      </c>
      <c r="L1363" s="5">
        <v>45292.0</v>
      </c>
      <c r="M1363" s="5">
        <v>44635.0</v>
      </c>
      <c r="N1363" s="1" t="s">
        <v>4042</v>
      </c>
    </row>
    <row r="1364" hidden="1">
      <c r="A1364" s="1" t="s">
        <v>70</v>
      </c>
      <c r="B1364" s="1" t="s">
        <v>25</v>
      </c>
      <c r="C1364" s="1" t="s">
        <v>1470</v>
      </c>
      <c r="D1364" s="1" t="str">
        <f>Vlookup(C1364,'Oil &amp; Gas Documents - Canada'!F:M,2,FALSE)</f>
        <v>#N/A</v>
      </c>
      <c r="E1364" s="1" t="str">
        <f>Vlookup(C1364,'Oil &amp; Gas Documents - Canada'!F:N,9,FALSE)</f>
        <v>#N/A</v>
      </c>
      <c r="F1364" s="1" t="s">
        <v>1471</v>
      </c>
      <c r="G1364" s="4" t="str">
        <f>HYPERLINK("http://nimonikapp.com/legislations/1311","http://nimonikapp.com/legislations/1311")</f>
        <v>http://nimonikapp.com/legislations/1311</v>
      </c>
      <c r="H1364" s="1" t="s">
        <v>18</v>
      </c>
      <c r="I1364" s="1" t="s">
        <v>4043</v>
      </c>
      <c r="J1364" s="1" t="s">
        <v>1473</v>
      </c>
      <c r="K1364" s="5">
        <v>44646.0</v>
      </c>
      <c r="L1364" s="5">
        <v>44652.0</v>
      </c>
      <c r="M1364" s="5">
        <v>44635.0</v>
      </c>
    </row>
    <row r="1365" hidden="1">
      <c r="A1365" s="1" t="s">
        <v>70</v>
      </c>
      <c r="B1365" s="1" t="s">
        <v>25</v>
      </c>
      <c r="C1365" s="1" t="s">
        <v>4044</v>
      </c>
      <c r="D1365" s="1" t="str">
        <f>Vlookup(C1365,'Oil &amp; Gas Documents - Canada'!F:M,2,FALSE)</f>
        <v>#N/A</v>
      </c>
      <c r="E1365" s="1" t="str">
        <f>Vlookup(C1365,'Oil &amp; Gas Documents - Canada'!F:N,9,FALSE)</f>
        <v>#N/A</v>
      </c>
      <c r="F1365" s="1" t="s">
        <v>4002</v>
      </c>
      <c r="G1365" s="4" t="str">
        <f>HYPERLINK("http://nimonikapp.com/legislations/144395","http://nimonikapp.com/legislations/144395")</f>
        <v>http://nimonikapp.com/legislations/144395</v>
      </c>
      <c r="H1365" s="1" t="s">
        <v>18</v>
      </c>
      <c r="I1365" s="1" t="s">
        <v>4045</v>
      </c>
      <c r="J1365" s="1" t="s">
        <v>4046</v>
      </c>
      <c r="K1365" s="5">
        <v>44646.0</v>
      </c>
      <c r="L1365" s="5">
        <v>44631.0</v>
      </c>
      <c r="M1365" s="5">
        <v>44635.0</v>
      </c>
      <c r="N1365" s="1" t="s">
        <v>4047</v>
      </c>
    </row>
    <row r="1366" hidden="1">
      <c r="A1366" s="1" t="s">
        <v>70</v>
      </c>
      <c r="B1366" s="1" t="s">
        <v>25</v>
      </c>
      <c r="C1366" s="1" t="s">
        <v>3413</v>
      </c>
      <c r="D1366" s="1" t="str">
        <f>Vlookup(C1366,'Oil &amp; Gas Documents - Canada'!F:M,2,FALSE)</f>
        <v>#N/A</v>
      </c>
      <c r="E1366" s="1" t="str">
        <f>Vlookup(C1366,'Oil &amp; Gas Documents - Canada'!F:N,9,FALSE)</f>
        <v>#N/A</v>
      </c>
      <c r="F1366" s="1" t="s">
        <v>3414</v>
      </c>
      <c r="G1366" s="4" t="str">
        <f>HYPERLINK("http://nimonikapp.com/legislations/2365","http://nimonikapp.com/legislations/2365")</f>
        <v>http://nimonikapp.com/legislations/2365</v>
      </c>
      <c r="H1366" s="1" t="s">
        <v>18</v>
      </c>
      <c r="I1366" s="1" t="s">
        <v>4048</v>
      </c>
      <c r="J1366" s="1" t="s">
        <v>3416</v>
      </c>
      <c r="K1366" s="5">
        <v>44646.0</v>
      </c>
      <c r="L1366" s="5">
        <v>44631.0</v>
      </c>
      <c r="M1366" s="5">
        <v>44635.0</v>
      </c>
      <c r="N1366" s="1" t="s">
        <v>3417</v>
      </c>
    </row>
    <row r="1367" hidden="1">
      <c r="A1367" s="1" t="s">
        <v>70</v>
      </c>
      <c r="B1367" s="1" t="s">
        <v>352</v>
      </c>
      <c r="C1367" s="1" t="s">
        <v>3408</v>
      </c>
      <c r="D1367" s="1" t="str">
        <f>Vlookup(C1367,'Oil &amp; Gas Documents - Canada'!F:M,2,FALSE)</f>
        <v>#N/A</v>
      </c>
      <c r="E1367" s="1" t="str">
        <f>Vlookup(C1367,'Oil &amp; Gas Documents - Canada'!F:N,9,FALSE)</f>
        <v>#N/A</v>
      </c>
      <c r="F1367" s="1" t="s">
        <v>3409</v>
      </c>
      <c r="G1367" s="4" t="str">
        <f>HYPERLINK("http://nimonikapp.com/legislations/105987","http://nimonikapp.com/legislations/105987")</f>
        <v>http://nimonikapp.com/legislations/105987</v>
      </c>
      <c r="H1367" s="1" t="s">
        <v>18</v>
      </c>
      <c r="I1367" s="1" t="s">
        <v>4049</v>
      </c>
      <c r="J1367" s="1" t="s">
        <v>4050</v>
      </c>
      <c r="K1367" s="5">
        <v>44646.0</v>
      </c>
      <c r="L1367" s="5">
        <v>45292.0</v>
      </c>
      <c r="M1367" s="5">
        <v>44635.0</v>
      </c>
      <c r="N1367" s="1" t="s">
        <v>3412</v>
      </c>
    </row>
    <row r="1368" hidden="1">
      <c r="A1368" s="1" t="s">
        <v>53</v>
      </c>
      <c r="B1368" s="1" t="s">
        <v>25</v>
      </c>
      <c r="C1368" s="1" t="s">
        <v>4051</v>
      </c>
      <c r="D1368" s="1" t="str">
        <f>Vlookup(C1368,'Oil &amp; Gas Documents - Canada'!F:M,2,FALSE)</f>
        <v>#N/A</v>
      </c>
      <c r="E1368" s="1" t="str">
        <f>Vlookup(C1368,'Oil &amp; Gas Documents - Canada'!F:N,9,FALSE)</f>
        <v>#N/A</v>
      </c>
      <c r="F1368" s="1" t="s">
        <v>4052</v>
      </c>
      <c r="G1368" s="4" t="str">
        <f>HYPERLINK("http://nimonikapp.com/legislations/15535","http://nimonikapp.com/legislations/15535")</f>
        <v>http://nimonikapp.com/legislations/15535</v>
      </c>
      <c r="H1368" s="1" t="s">
        <v>18</v>
      </c>
      <c r="I1368" s="1" t="s">
        <v>4053</v>
      </c>
      <c r="J1368" s="1" t="s">
        <v>4054</v>
      </c>
      <c r="K1368" s="5">
        <v>44631.0</v>
      </c>
      <c r="L1368" s="5">
        <v>44621.0</v>
      </c>
      <c r="M1368" s="5">
        <v>44631.0</v>
      </c>
      <c r="N1368" s="1" t="s">
        <v>4055</v>
      </c>
    </row>
    <row r="1369" hidden="1">
      <c r="A1369" s="1" t="s">
        <v>24</v>
      </c>
      <c r="B1369" s="1" t="s">
        <v>15</v>
      </c>
      <c r="C1369" s="1" t="s">
        <v>4056</v>
      </c>
      <c r="D1369" s="1" t="str">
        <f>Vlookup(C1369,'Oil &amp; Gas Documents - Canada'!F:M,2,FALSE)</f>
        <v>#N/A</v>
      </c>
      <c r="E1369" s="1" t="str">
        <f>Vlookup(C1369,'Oil &amp; Gas Documents - Canada'!F:N,9,FALSE)</f>
        <v>#N/A</v>
      </c>
      <c r="F1369" s="1" t="s">
        <v>4057</v>
      </c>
      <c r="G1369" s="4" t="str">
        <f>HYPERLINK("http://nimonikapp.com/legislations/337767","http://nimonikapp.com/legislations/337767")</f>
        <v>http://nimonikapp.com/legislations/337767</v>
      </c>
      <c r="H1369" s="1" t="s">
        <v>18</v>
      </c>
      <c r="K1369" s="5">
        <v>44628.0</v>
      </c>
      <c r="L1369" s="5">
        <v>44623.0</v>
      </c>
      <c r="M1369" s="5">
        <v>44630.0</v>
      </c>
    </row>
    <row r="1370" hidden="1">
      <c r="A1370" s="1" t="s">
        <v>70</v>
      </c>
      <c r="B1370" s="1" t="s">
        <v>15</v>
      </c>
      <c r="C1370" s="1" t="s">
        <v>4058</v>
      </c>
      <c r="D1370" s="1" t="str">
        <f>Vlookup(C1370,'Oil &amp; Gas Documents - Canada'!F:M,2,FALSE)</f>
        <v>#N/A</v>
      </c>
      <c r="E1370" s="1" t="str">
        <f>Vlookup(C1370,'Oil &amp; Gas Documents - Canada'!F:N,9,FALSE)</f>
        <v>#N/A</v>
      </c>
      <c r="F1370" s="1" t="s">
        <v>4059</v>
      </c>
      <c r="G1370" s="4" t="str">
        <f>HYPERLINK("http://nimonikapp.com/legislations/337732","http://nimonikapp.com/legislations/337732")</f>
        <v>http://nimonikapp.com/legislations/337732</v>
      </c>
      <c r="H1370" s="1" t="s">
        <v>516</v>
      </c>
      <c r="K1370" s="5">
        <v>44622.0</v>
      </c>
      <c r="M1370" s="5">
        <v>44630.0</v>
      </c>
    </row>
    <row r="1371" hidden="1">
      <c r="A1371" s="1" t="s">
        <v>202</v>
      </c>
      <c r="B1371" s="1" t="s">
        <v>15</v>
      </c>
      <c r="C1371" s="1" t="s">
        <v>4060</v>
      </c>
      <c r="D1371" s="1" t="str">
        <f>Vlookup(C1371,'Oil &amp; Gas Documents - Canada'!F:M,2,FALSE)</f>
        <v>#N/A</v>
      </c>
      <c r="E1371" s="1" t="str">
        <f>Vlookup(C1371,'Oil &amp; Gas Documents - Canada'!F:N,9,FALSE)</f>
        <v>#N/A</v>
      </c>
      <c r="F1371" s="1" t="s">
        <v>4061</v>
      </c>
      <c r="G1371" s="4" t="str">
        <f>HYPERLINK("http://nimonikapp.com/legislations/337679","http://nimonikapp.com/legislations/337679")</f>
        <v>http://nimonikapp.com/legislations/337679</v>
      </c>
      <c r="H1371" s="1" t="s">
        <v>516</v>
      </c>
      <c r="K1371" s="5">
        <v>44629.0</v>
      </c>
      <c r="M1371" s="5">
        <v>44630.0</v>
      </c>
    </row>
    <row r="1372" hidden="1">
      <c r="A1372" s="1" t="s">
        <v>202</v>
      </c>
      <c r="B1372" s="1" t="s">
        <v>15</v>
      </c>
      <c r="C1372" s="1" t="s">
        <v>4062</v>
      </c>
      <c r="D1372" s="1" t="str">
        <f>Vlookup(C1372,'Oil &amp; Gas Documents - Canada'!F:M,2,FALSE)</f>
        <v>#N/A</v>
      </c>
      <c r="E1372" s="1" t="str">
        <f>Vlookup(C1372,'Oil &amp; Gas Documents - Canada'!F:N,9,FALSE)</f>
        <v>#N/A</v>
      </c>
      <c r="F1372" s="1" t="s">
        <v>4063</v>
      </c>
      <c r="G1372" s="4" t="str">
        <f>HYPERLINK("http://nimonikapp.com/legislations/337678","http://nimonikapp.com/legislations/337678")</f>
        <v>http://nimonikapp.com/legislations/337678</v>
      </c>
      <c r="H1372" s="1" t="s">
        <v>516</v>
      </c>
      <c r="K1372" s="5">
        <v>44629.0</v>
      </c>
      <c r="M1372" s="5">
        <v>44630.0</v>
      </c>
    </row>
    <row r="1373" hidden="1">
      <c r="A1373" s="1" t="s">
        <v>202</v>
      </c>
      <c r="B1373" s="1" t="s">
        <v>15</v>
      </c>
      <c r="C1373" s="1" t="s">
        <v>4064</v>
      </c>
      <c r="D1373" s="1" t="str">
        <f>Vlookup(C1373,'Oil &amp; Gas Documents - Canada'!F:M,2,FALSE)</f>
        <v>#N/A</v>
      </c>
      <c r="E1373" s="1" t="str">
        <f>Vlookup(C1373,'Oil &amp; Gas Documents - Canada'!F:N,9,FALSE)</f>
        <v>#N/A</v>
      </c>
      <c r="F1373" s="1" t="s">
        <v>4063</v>
      </c>
      <c r="G1373" s="4" t="str">
        <f>HYPERLINK("http://nimonikapp.com/legislations/337676","http://nimonikapp.com/legislations/337676")</f>
        <v>http://nimonikapp.com/legislations/337676</v>
      </c>
      <c r="H1373" s="1" t="s">
        <v>516</v>
      </c>
      <c r="K1373" s="5">
        <v>44629.0</v>
      </c>
      <c r="M1373" s="5">
        <v>44630.0</v>
      </c>
    </row>
    <row r="1374">
      <c r="A1374" s="1" t="s">
        <v>70</v>
      </c>
      <c r="B1374" s="1" t="s">
        <v>25</v>
      </c>
      <c r="C1374" s="1" t="s">
        <v>655</v>
      </c>
      <c r="D1374" s="1" t="str">
        <f>Vlookup(C1374,'Oil &amp; Gas Documents - Canada'!F:M,2,FALSE)</f>
        <v>oil_and_gas, mining_and_minerals_industry</v>
      </c>
      <c r="E1374" s="1" t="str">
        <f>Vlookup(C1374,'Oil &amp; Gas Documents - Canada'!F:N,9,FALSE)</f>
        <v/>
      </c>
      <c r="F1374" s="1" t="s">
        <v>654</v>
      </c>
      <c r="G1374" s="4" t="str">
        <f>HYPERLINK("http://nimonikapp.com/legislations/13550","http://nimonikapp.com/legislations/13550")</f>
        <v>http://nimonikapp.com/legislations/13550</v>
      </c>
      <c r="H1374" s="1" t="s">
        <v>18</v>
      </c>
      <c r="I1374" s="1" t="s">
        <v>657</v>
      </c>
      <c r="J1374" s="1" t="s">
        <v>658</v>
      </c>
      <c r="K1374" s="5">
        <v>44639.0</v>
      </c>
      <c r="L1374" s="5">
        <v>44743.0</v>
      </c>
      <c r="M1374" s="5">
        <v>44630.0</v>
      </c>
      <c r="N1374" s="1" t="s">
        <v>656</v>
      </c>
    </row>
    <row r="1375" hidden="1">
      <c r="A1375" s="1" t="s">
        <v>70</v>
      </c>
      <c r="B1375" s="1" t="s">
        <v>25</v>
      </c>
      <c r="C1375" s="1" t="s">
        <v>3840</v>
      </c>
      <c r="D1375" s="1" t="str">
        <f>Vlookup(C1375,'Oil &amp; Gas Documents - Canada'!F:M,2,FALSE)</f>
        <v>#N/A</v>
      </c>
      <c r="E1375" s="1" t="str">
        <f>Vlookup(C1375,'Oil &amp; Gas Documents - Canada'!F:N,9,FALSE)</f>
        <v>#N/A</v>
      </c>
      <c r="F1375" s="1" t="s">
        <v>3042</v>
      </c>
      <c r="G1375" s="4" t="str">
        <f>HYPERLINK("http://nimonikapp.com/legislations/65","http://nimonikapp.com/legislations/65")</f>
        <v>http://nimonikapp.com/legislations/65</v>
      </c>
      <c r="H1375" s="1" t="s">
        <v>18</v>
      </c>
      <c r="I1375" s="1" t="s">
        <v>4065</v>
      </c>
      <c r="J1375" s="1" t="s">
        <v>4066</v>
      </c>
      <c r="K1375" s="5">
        <v>44623.0</v>
      </c>
      <c r="L1375" s="5">
        <v>44623.0</v>
      </c>
      <c r="M1375" s="5">
        <v>44630.0</v>
      </c>
      <c r="N1375" s="1" t="s">
        <v>3843</v>
      </c>
    </row>
    <row r="1376" hidden="1">
      <c r="A1376" s="1" t="s">
        <v>70</v>
      </c>
      <c r="B1376" s="1" t="s">
        <v>25</v>
      </c>
      <c r="C1376" s="1" t="s">
        <v>3112</v>
      </c>
      <c r="D1376" s="1" t="str">
        <f>Vlookup(C1376,'Oil &amp; Gas Documents - Canada'!F:M,2,FALSE)</f>
        <v>#N/A</v>
      </c>
      <c r="E1376" s="1" t="str">
        <f>Vlookup(C1376,'Oil &amp; Gas Documents - Canada'!F:N,9,FALSE)</f>
        <v>#N/A</v>
      </c>
      <c r="F1376" s="1" t="s">
        <v>1328</v>
      </c>
      <c r="G1376" s="4" t="str">
        <f>HYPERLINK("http://nimonikapp.com/legislations/416","http://nimonikapp.com/legislations/416")</f>
        <v>http://nimonikapp.com/legislations/416</v>
      </c>
      <c r="H1376" s="1" t="s">
        <v>18</v>
      </c>
      <c r="I1376" s="1" t="s">
        <v>4065</v>
      </c>
      <c r="J1376" s="1" t="s">
        <v>4066</v>
      </c>
      <c r="K1376" s="5">
        <v>44623.0</v>
      </c>
      <c r="L1376" s="5">
        <v>44623.0</v>
      </c>
      <c r="M1376" s="5">
        <v>44630.0</v>
      </c>
      <c r="N1376" s="1" t="s">
        <v>3115</v>
      </c>
    </row>
    <row r="1377" hidden="1">
      <c r="A1377" s="1" t="s">
        <v>202</v>
      </c>
      <c r="B1377" s="1" t="s">
        <v>25</v>
      </c>
      <c r="C1377" s="1" t="s">
        <v>4067</v>
      </c>
      <c r="D1377" s="1" t="str">
        <f>Vlookup(C1377,'Oil &amp; Gas Documents - Canada'!F:M,2,FALSE)</f>
        <v>#N/A</v>
      </c>
      <c r="E1377" s="1" t="str">
        <f>Vlookup(C1377,'Oil &amp; Gas Documents - Canada'!F:N,9,FALSE)</f>
        <v>#N/A</v>
      </c>
      <c r="F1377" s="1" t="s">
        <v>4068</v>
      </c>
      <c r="G1377" s="4" t="str">
        <f>HYPERLINK("http://nimonikapp.com/legislations/104056","http://nimonikapp.com/legislations/104056")</f>
        <v>http://nimonikapp.com/legislations/104056</v>
      </c>
      <c r="H1377" s="1" t="s">
        <v>18</v>
      </c>
      <c r="I1377" s="1" t="s">
        <v>4069</v>
      </c>
      <c r="J1377" s="1" t="s">
        <v>4070</v>
      </c>
      <c r="K1377" s="5">
        <v>44629.0</v>
      </c>
      <c r="L1377" s="5">
        <v>44644.0</v>
      </c>
      <c r="M1377" s="5">
        <v>44630.0</v>
      </c>
      <c r="N1377" s="1" t="s">
        <v>4071</v>
      </c>
    </row>
    <row r="1378" hidden="1">
      <c r="A1378" s="1" t="s">
        <v>66</v>
      </c>
      <c r="B1378" s="1" t="s">
        <v>352</v>
      </c>
      <c r="C1378" s="1" t="s">
        <v>4072</v>
      </c>
      <c r="D1378" s="1" t="str">
        <f>Vlookup(C1378,'Oil &amp; Gas Documents - Canada'!F:M,2,FALSE)</f>
        <v>#N/A</v>
      </c>
      <c r="E1378" s="1" t="str">
        <f>Vlookup(C1378,'Oil &amp; Gas Documents - Canada'!F:N,9,FALSE)</f>
        <v>#N/A</v>
      </c>
      <c r="F1378" s="1" t="s">
        <v>4073</v>
      </c>
      <c r="G1378" s="4" t="str">
        <f>HYPERLINK("http://nimonikapp.com/legislations/316325","http://nimonikapp.com/legislations/316325")</f>
        <v>http://nimonikapp.com/legislations/316325</v>
      </c>
      <c r="H1378" s="1" t="s">
        <v>356</v>
      </c>
      <c r="I1378" s="1" t="s">
        <v>4074</v>
      </c>
      <c r="J1378" s="1" t="s">
        <v>4075</v>
      </c>
      <c r="K1378" s="5">
        <v>44617.0</v>
      </c>
      <c r="L1378" s="5">
        <v>44634.0</v>
      </c>
      <c r="M1378" s="5">
        <v>44628.0</v>
      </c>
      <c r="N1378" s="1" t="s">
        <v>4076</v>
      </c>
    </row>
    <row r="1379" hidden="1">
      <c r="A1379" s="1" t="s">
        <v>73</v>
      </c>
      <c r="B1379" s="1" t="s">
        <v>25</v>
      </c>
      <c r="C1379" s="1" t="s">
        <v>1762</v>
      </c>
      <c r="D1379" s="1" t="str">
        <f>Vlookup(C1379,'Oil &amp; Gas Documents - Canada'!F:M,2,FALSE)</f>
        <v>#N/A</v>
      </c>
      <c r="E1379" s="1" t="str">
        <f>Vlookup(C1379,'Oil &amp; Gas Documents - Canada'!F:N,9,FALSE)</f>
        <v>#N/A</v>
      </c>
      <c r="F1379" s="1" t="s">
        <v>1763</v>
      </c>
      <c r="G1379" s="4" t="str">
        <f>HYPERLINK("http://nimonikapp.com/legislations/6187","http://nimonikapp.com/legislations/6187")</f>
        <v>http://nimonikapp.com/legislations/6187</v>
      </c>
      <c r="H1379" s="1" t="s">
        <v>18</v>
      </c>
      <c r="I1379" s="1" t="s">
        <v>4077</v>
      </c>
      <c r="J1379" s="1" t="s">
        <v>4078</v>
      </c>
      <c r="K1379" s="5">
        <v>44625.0</v>
      </c>
      <c r="L1379" s="5">
        <v>44624.0</v>
      </c>
      <c r="M1379" s="5">
        <v>44628.0</v>
      </c>
      <c r="N1379" s="1" t="s">
        <v>1766</v>
      </c>
    </row>
    <row r="1380" hidden="1">
      <c r="A1380" s="1" t="s">
        <v>24</v>
      </c>
      <c r="B1380" s="1" t="s">
        <v>25</v>
      </c>
      <c r="C1380" s="1" t="s">
        <v>4079</v>
      </c>
      <c r="D1380" s="1" t="str">
        <f>Vlookup(C1380,'Oil &amp; Gas Documents - Canada'!F:M,2,FALSE)</f>
        <v>#N/A</v>
      </c>
      <c r="E1380" s="1" t="str">
        <f>Vlookup(C1380,'Oil &amp; Gas Documents - Canada'!F:N,9,FALSE)</f>
        <v>#N/A</v>
      </c>
      <c r="F1380" s="1" t="s">
        <v>4080</v>
      </c>
      <c r="G1380" s="4" t="str">
        <f>HYPERLINK("http://nimonikapp.com/legislations/117053","http://nimonikapp.com/legislations/117053")</f>
        <v>http://nimonikapp.com/legislations/117053</v>
      </c>
      <c r="H1380" s="1" t="s">
        <v>18</v>
      </c>
      <c r="I1380" s="1" t="s">
        <v>4081</v>
      </c>
      <c r="J1380" s="1" t="s">
        <v>4082</v>
      </c>
      <c r="K1380" s="5">
        <v>44621.0</v>
      </c>
      <c r="L1380" s="5">
        <v>44620.0</v>
      </c>
      <c r="M1380" s="5">
        <v>44628.0</v>
      </c>
    </row>
    <row r="1381" hidden="1">
      <c r="A1381" s="1" t="s">
        <v>24</v>
      </c>
      <c r="B1381" s="1" t="s">
        <v>25</v>
      </c>
      <c r="C1381" s="1" t="s">
        <v>4083</v>
      </c>
      <c r="D1381" s="1" t="str">
        <f>Vlookup(C1381,'Oil &amp; Gas Documents - Canada'!F:M,2,FALSE)</f>
        <v>#N/A</v>
      </c>
      <c r="E1381" s="1" t="str">
        <f>Vlookup(C1381,'Oil &amp; Gas Documents - Canada'!F:N,9,FALSE)</f>
        <v>#N/A</v>
      </c>
      <c r="F1381" s="1" t="s">
        <v>4084</v>
      </c>
      <c r="G1381" s="4" t="str">
        <f>HYPERLINK("http://nimonikapp.com/legislations/117056","http://nimonikapp.com/legislations/117056")</f>
        <v>http://nimonikapp.com/legislations/117056</v>
      </c>
      <c r="H1381" s="1" t="s">
        <v>18</v>
      </c>
      <c r="I1381" s="1" t="s">
        <v>4081</v>
      </c>
      <c r="J1381" s="1" t="s">
        <v>4082</v>
      </c>
      <c r="K1381" s="5">
        <v>44621.0</v>
      </c>
      <c r="L1381" s="5">
        <v>44620.0</v>
      </c>
      <c r="M1381" s="5">
        <v>44628.0</v>
      </c>
    </row>
    <row r="1382">
      <c r="A1382" s="1" t="s">
        <v>70</v>
      </c>
      <c r="B1382" s="1" t="s">
        <v>364</v>
      </c>
      <c r="C1382" s="1" t="s">
        <v>660</v>
      </c>
      <c r="D1382" s="1" t="str">
        <f>Vlookup(C1382,'Oil &amp; Gas Documents - Canada'!F:M,2,FALSE)</f>
        <v>oil_and_gas</v>
      </c>
      <c r="E1382" s="1" t="str">
        <f>Vlookup(C1382,'Oil &amp; Gas Documents - Canada'!F:N,9,FALSE)</f>
        <v/>
      </c>
      <c r="F1382" s="1" t="s">
        <v>659</v>
      </c>
      <c r="G1382" s="4" t="str">
        <f>HYPERLINK("http://nimonikapp.com/legislations/114325","http://nimonikapp.com/legislations/114325")</f>
        <v>http://nimonikapp.com/legislations/114325</v>
      </c>
      <c r="H1382" s="1" t="s">
        <v>18</v>
      </c>
      <c r="I1382" s="1" t="s">
        <v>662</v>
      </c>
      <c r="J1382" s="1" t="s">
        <v>663</v>
      </c>
      <c r="K1382" s="5">
        <v>44632.0</v>
      </c>
      <c r="L1382" s="5">
        <v>44617.0</v>
      </c>
      <c r="M1382" s="5">
        <v>44628.0</v>
      </c>
      <c r="N1382" s="1" t="s">
        <v>661</v>
      </c>
    </row>
    <row r="1383" hidden="1">
      <c r="A1383" s="1" t="s">
        <v>70</v>
      </c>
      <c r="B1383" s="1" t="s">
        <v>364</v>
      </c>
      <c r="C1383" s="1" t="s">
        <v>4085</v>
      </c>
      <c r="D1383" s="1" t="str">
        <f>Vlookup(C1383,'Oil &amp; Gas Documents - Canada'!F:M,2,FALSE)</f>
        <v>#N/A</v>
      </c>
      <c r="E1383" s="1" t="str">
        <f>Vlookup(C1383,'Oil &amp; Gas Documents - Canada'!F:N,9,FALSE)</f>
        <v>#N/A</v>
      </c>
      <c r="F1383" s="1" t="s">
        <v>4086</v>
      </c>
      <c r="G1383" s="4" t="str">
        <f>HYPERLINK("http://nimonikapp.com/legislations/310152","http://nimonikapp.com/legislations/310152")</f>
        <v>http://nimonikapp.com/legislations/310152</v>
      </c>
      <c r="H1383" s="1" t="s">
        <v>356</v>
      </c>
      <c r="I1383" s="1" t="s">
        <v>4087</v>
      </c>
      <c r="J1383" s="1" t="s">
        <v>4086</v>
      </c>
      <c r="K1383" s="5">
        <v>44639.0</v>
      </c>
      <c r="L1383" s="5">
        <v>44652.0</v>
      </c>
      <c r="M1383" s="5">
        <v>44628.0</v>
      </c>
      <c r="N1383" s="1" t="s">
        <v>4088</v>
      </c>
    </row>
    <row r="1384" hidden="1">
      <c r="A1384" s="1" t="s">
        <v>202</v>
      </c>
      <c r="B1384" s="1" t="s">
        <v>25</v>
      </c>
      <c r="C1384" s="1" t="s">
        <v>4089</v>
      </c>
      <c r="D1384" s="1" t="str">
        <f>Vlookup(C1384,'Oil &amp; Gas Documents - Canada'!F:M,2,FALSE)</f>
        <v>#N/A</v>
      </c>
      <c r="E1384" s="1" t="str">
        <f>Vlookup(C1384,'Oil &amp; Gas Documents - Canada'!F:N,9,FALSE)</f>
        <v>#N/A</v>
      </c>
      <c r="F1384" s="1" t="s">
        <v>1410</v>
      </c>
      <c r="G1384" s="4" t="str">
        <f>HYPERLINK("http://nimonikapp.com/legislations/297642","http://nimonikapp.com/legislations/297642")</f>
        <v>http://nimonikapp.com/legislations/297642</v>
      </c>
      <c r="H1384" s="1" t="s">
        <v>18</v>
      </c>
      <c r="I1384" s="1" t="s">
        <v>4090</v>
      </c>
      <c r="J1384" s="1" t="s">
        <v>1410</v>
      </c>
      <c r="K1384" s="5">
        <v>44623.0</v>
      </c>
      <c r="L1384" s="5">
        <v>44617.0</v>
      </c>
      <c r="M1384" s="5">
        <v>44623.0</v>
      </c>
      <c r="N1384" s="1" t="s">
        <v>4091</v>
      </c>
    </row>
    <row r="1385" hidden="1">
      <c r="A1385" s="1" t="s">
        <v>557</v>
      </c>
      <c r="B1385" s="1" t="s">
        <v>25</v>
      </c>
      <c r="C1385" s="1" t="s">
        <v>4092</v>
      </c>
      <c r="D1385" s="1" t="str">
        <f>Vlookup(C1385,'Oil &amp; Gas Documents - Canada'!F:M,2,FALSE)</f>
        <v>#N/A</v>
      </c>
      <c r="E1385" s="1" t="str">
        <f>Vlookup(C1385,'Oil &amp; Gas Documents - Canada'!F:N,9,FALSE)</f>
        <v>#N/A</v>
      </c>
      <c r="F1385" s="1" t="s">
        <v>4093</v>
      </c>
      <c r="G1385" s="4" t="str">
        <f>HYPERLINK("http://nimonikapp.com/legislations/155081","http://nimonikapp.com/legislations/155081")</f>
        <v>http://nimonikapp.com/legislations/155081</v>
      </c>
      <c r="H1385" s="1" t="s">
        <v>18</v>
      </c>
      <c r="I1385" s="1" t="s">
        <v>4094</v>
      </c>
      <c r="J1385" s="1" t="s">
        <v>4095</v>
      </c>
      <c r="K1385" s="5">
        <v>44620.0</v>
      </c>
      <c r="L1385" s="5">
        <v>44645.0</v>
      </c>
      <c r="M1385" s="5">
        <v>44623.0</v>
      </c>
      <c r="N1385" s="1" t="s">
        <v>4096</v>
      </c>
    </row>
    <row r="1386" hidden="1">
      <c r="A1386" s="1" t="s">
        <v>557</v>
      </c>
      <c r="B1386" s="1" t="s">
        <v>25</v>
      </c>
      <c r="C1386" s="1" t="s">
        <v>4097</v>
      </c>
      <c r="D1386" s="1" t="str">
        <f>Vlookup(C1386,'Oil &amp; Gas Documents - Canada'!F:M,2,FALSE)</f>
        <v>#N/A</v>
      </c>
      <c r="E1386" s="1" t="str">
        <f>Vlookup(C1386,'Oil &amp; Gas Documents - Canada'!F:N,9,FALSE)</f>
        <v>#N/A</v>
      </c>
      <c r="F1386" s="1" t="s">
        <v>4098</v>
      </c>
      <c r="G1386" s="4" t="str">
        <f>HYPERLINK("http://nimonikapp.com/legislations/297645","http://nimonikapp.com/legislations/297645")</f>
        <v>http://nimonikapp.com/legislations/297645</v>
      </c>
      <c r="H1386" s="1" t="s">
        <v>18</v>
      </c>
      <c r="I1386" s="1" t="s">
        <v>4099</v>
      </c>
      <c r="J1386" s="1" t="s">
        <v>4100</v>
      </c>
      <c r="K1386" s="5">
        <v>44620.0</v>
      </c>
      <c r="L1386" s="5">
        <v>44593.0</v>
      </c>
      <c r="M1386" s="5">
        <v>44623.0</v>
      </c>
      <c r="N1386" s="1" t="s">
        <v>4101</v>
      </c>
    </row>
    <row r="1387" hidden="1">
      <c r="A1387" s="1" t="s">
        <v>66</v>
      </c>
      <c r="B1387" s="1" t="s">
        <v>25</v>
      </c>
      <c r="C1387" s="1" t="s">
        <v>4072</v>
      </c>
      <c r="D1387" s="1" t="str">
        <f>Vlookup(C1387,'Oil &amp; Gas Documents - Canada'!F:M,2,FALSE)</f>
        <v>#N/A</v>
      </c>
      <c r="E1387" s="1" t="str">
        <f>Vlookup(C1387,'Oil &amp; Gas Documents - Canada'!F:N,9,FALSE)</f>
        <v>#N/A</v>
      </c>
      <c r="F1387" s="1" t="s">
        <v>4073</v>
      </c>
      <c r="G1387" s="4" t="str">
        <f>HYPERLINK("http://nimonikapp.com/legislations/316325","http://nimonikapp.com/legislations/316325")</f>
        <v>http://nimonikapp.com/legislations/316325</v>
      </c>
      <c r="H1387" s="1" t="s">
        <v>356</v>
      </c>
      <c r="I1387" s="1" t="s">
        <v>4102</v>
      </c>
      <c r="J1387" s="1" t="s">
        <v>4075</v>
      </c>
      <c r="K1387" s="5">
        <v>44617.0</v>
      </c>
      <c r="L1387" s="5">
        <v>44620.0</v>
      </c>
      <c r="M1387" s="5">
        <v>44623.0</v>
      </c>
      <c r="N1387" s="1" t="s">
        <v>4076</v>
      </c>
    </row>
    <row r="1388" hidden="1">
      <c r="A1388" s="1" t="s">
        <v>202</v>
      </c>
      <c r="B1388" s="1" t="s">
        <v>15</v>
      </c>
      <c r="C1388" s="1" t="s">
        <v>4103</v>
      </c>
      <c r="D1388" s="1" t="str">
        <f>Vlookup(C1388,'Oil &amp; Gas Documents - Canada'!F:M,2,FALSE)</f>
        <v>#N/A</v>
      </c>
      <c r="E1388" s="1" t="str">
        <f>Vlookup(C1388,'Oil &amp; Gas Documents - Canada'!F:N,9,FALSE)</f>
        <v>#N/A</v>
      </c>
      <c r="F1388" s="1" t="s">
        <v>4104</v>
      </c>
      <c r="G1388" s="4" t="str">
        <f>HYPERLINK("http://nimonikapp.com/legislations/336790","http://nimonikapp.com/legislations/336790")</f>
        <v>http://nimonikapp.com/legislations/336790</v>
      </c>
      <c r="H1388" s="1" t="s">
        <v>18</v>
      </c>
      <c r="K1388" s="5">
        <v>44622.0</v>
      </c>
      <c r="L1388" s="5">
        <v>44607.0</v>
      </c>
      <c r="M1388" s="5">
        <v>44622.0</v>
      </c>
    </row>
    <row r="1389" hidden="1">
      <c r="A1389" s="1" t="s">
        <v>202</v>
      </c>
      <c r="B1389" s="1" t="s">
        <v>15</v>
      </c>
      <c r="C1389" s="1" t="s">
        <v>4105</v>
      </c>
      <c r="D1389" s="1" t="str">
        <f>Vlookup(C1389,'Oil &amp; Gas Documents - Canada'!F:M,2,FALSE)</f>
        <v>#N/A</v>
      </c>
      <c r="E1389" s="1" t="str">
        <f>Vlookup(C1389,'Oil &amp; Gas Documents - Canada'!F:N,9,FALSE)</f>
        <v>#N/A</v>
      </c>
      <c r="F1389" s="1" t="s">
        <v>4106</v>
      </c>
      <c r="G1389" s="4" t="str">
        <f>HYPERLINK("http://nimonikapp.com/legislations/336788","http://nimonikapp.com/legislations/336788")</f>
        <v>http://nimonikapp.com/legislations/336788</v>
      </c>
      <c r="H1389" s="1" t="s">
        <v>18</v>
      </c>
      <c r="K1389" s="5">
        <v>44622.0</v>
      </c>
      <c r="L1389" s="5">
        <v>44607.0</v>
      </c>
      <c r="M1389" s="5">
        <v>44622.0</v>
      </c>
    </row>
    <row r="1390" hidden="1">
      <c r="A1390" s="1" t="s">
        <v>70</v>
      </c>
      <c r="B1390" s="1" t="s">
        <v>25</v>
      </c>
      <c r="C1390" s="1" t="s">
        <v>4107</v>
      </c>
      <c r="D1390" s="1" t="str">
        <f>Vlookup(C1390,'Oil &amp; Gas Documents - Canada'!F:M,2,FALSE)</f>
        <v>#N/A</v>
      </c>
      <c r="E1390" s="1" t="str">
        <f>Vlookup(C1390,'Oil &amp; Gas Documents - Canada'!F:N,9,FALSE)</f>
        <v>#N/A</v>
      </c>
      <c r="F1390" s="1" t="s">
        <v>4108</v>
      </c>
      <c r="G1390" s="4" t="str">
        <f>HYPERLINK("http://nimonikapp.com/legislations/116960","http://nimonikapp.com/legislations/116960")</f>
        <v>http://nimonikapp.com/legislations/116960</v>
      </c>
      <c r="H1390" s="1" t="s">
        <v>18</v>
      </c>
      <c r="I1390" s="1" t="s">
        <v>4109</v>
      </c>
      <c r="J1390" s="1" t="s">
        <v>4110</v>
      </c>
      <c r="K1390" s="5">
        <v>44632.0</v>
      </c>
      <c r="L1390" s="5">
        <v>44615.0</v>
      </c>
      <c r="M1390" s="5">
        <v>44622.0</v>
      </c>
      <c r="N1390" s="1" t="s">
        <v>4111</v>
      </c>
    </row>
    <row r="1391" hidden="1">
      <c r="A1391" s="1" t="s">
        <v>70</v>
      </c>
      <c r="B1391" s="1" t="s">
        <v>25</v>
      </c>
      <c r="C1391" s="1" t="s">
        <v>4112</v>
      </c>
      <c r="D1391" s="1" t="str">
        <f>Vlookup(C1391,'Oil &amp; Gas Documents - Canada'!F:M,2,FALSE)</f>
        <v>#N/A</v>
      </c>
      <c r="E1391" s="1" t="str">
        <f>Vlookup(C1391,'Oil &amp; Gas Documents - Canada'!F:N,9,FALSE)</f>
        <v>#N/A</v>
      </c>
      <c r="F1391" s="1" t="s">
        <v>4113</v>
      </c>
      <c r="G1391" s="4" t="str">
        <f>HYPERLINK("http://nimonikapp.com/legislations/3956","http://nimonikapp.com/legislations/3956")</f>
        <v>http://nimonikapp.com/legislations/3956</v>
      </c>
      <c r="H1391" s="1" t="s">
        <v>18</v>
      </c>
      <c r="I1391" s="1" t="s">
        <v>4114</v>
      </c>
      <c r="J1391" s="1" t="s">
        <v>4115</v>
      </c>
      <c r="K1391" s="5">
        <v>44632.0</v>
      </c>
      <c r="L1391" s="5">
        <v>44614.0</v>
      </c>
      <c r="M1391" s="5">
        <v>44622.0</v>
      </c>
      <c r="N1391" s="1" t="s">
        <v>4116</v>
      </c>
    </row>
    <row r="1392" hidden="1">
      <c r="A1392" s="1" t="s">
        <v>70</v>
      </c>
      <c r="B1392" s="1" t="s">
        <v>25</v>
      </c>
      <c r="C1392" s="1" t="s">
        <v>3286</v>
      </c>
      <c r="D1392" s="1" t="str">
        <f>Vlookup(C1392,'Oil &amp; Gas Documents - Canada'!F:M,2,FALSE)</f>
        <v>#N/A</v>
      </c>
      <c r="E1392" s="1" t="str">
        <f>Vlookup(C1392,'Oil &amp; Gas Documents - Canada'!F:N,9,FALSE)</f>
        <v>#N/A</v>
      </c>
      <c r="F1392" s="1" t="s">
        <v>1354</v>
      </c>
      <c r="G1392" s="4" t="str">
        <f>HYPERLINK("http://nimonikapp.com/legislations/108","http://nimonikapp.com/legislations/108")</f>
        <v>http://nimonikapp.com/legislations/108</v>
      </c>
      <c r="H1392" s="1" t="s">
        <v>18</v>
      </c>
      <c r="I1392" s="1" t="s">
        <v>4117</v>
      </c>
      <c r="J1392" s="1" t="s">
        <v>4118</v>
      </c>
      <c r="K1392" s="5">
        <v>44618.0</v>
      </c>
      <c r="M1392" s="5">
        <v>44622.0</v>
      </c>
      <c r="N1392" s="1" t="s">
        <v>3289</v>
      </c>
    </row>
    <row r="1393" hidden="1">
      <c r="A1393" s="1" t="s">
        <v>70</v>
      </c>
      <c r="B1393" s="1" t="s">
        <v>25</v>
      </c>
      <c r="C1393" s="1" t="s">
        <v>3413</v>
      </c>
      <c r="D1393" s="1" t="str">
        <f>Vlookup(C1393,'Oil &amp; Gas Documents - Canada'!F:M,2,FALSE)</f>
        <v>#N/A</v>
      </c>
      <c r="E1393" s="1" t="str">
        <f>Vlookup(C1393,'Oil &amp; Gas Documents - Canada'!F:N,9,FALSE)</f>
        <v>#N/A</v>
      </c>
      <c r="F1393" s="1" t="s">
        <v>3414</v>
      </c>
      <c r="G1393" s="4" t="str">
        <f>HYPERLINK("http://nimonikapp.com/legislations/2365","http://nimonikapp.com/legislations/2365")</f>
        <v>http://nimonikapp.com/legislations/2365</v>
      </c>
      <c r="H1393" s="1" t="s">
        <v>18</v>
      </c>
      <c r="I1393" s="1" t="s">
        <v>4119</v>
      </c>
      <c r="J1393" s="1" t="s">
        <v>3416</v>
      </c>
      <c r="K1393" s="5">
        <v>44632.0</v>
      </c>
      <c r="L1393" s="5">
        <v>44621.0</v>
      </c>
      <c r="M1393" s="5">
        <v>44622.0</v>
      </c>
      <c r="N1393" s="1" t="s">
        <v>3417</v>
      </c>
    </row>
    <row r="1394">
      <c r="A1394" s="1" t="s">
        <v>70</v>
      </c>
      <c r="B1394" s="1" t="s">
        <v>25</v>
      </c>
      <c r="C1394" s="1" t="s">
        <v>665</v>
      </c>
      <c r="D1394" s="1" t="s">
        <v>26</v>
      </c>
      <c r="E1394" s="1" t="str">
        <f>Vlookup(C1394,'Oil &amp; Gas Documents - Canada'!F:N,9,FALSE)</f>
        <v>#N/A</v>
      </c>
      <c r="F1394" s="1" t="s">
        <v>664</v>
      </c>
      <c r="G1394" s="4" t="str">
        <f>HYPERLINK("http://nimonikapp.com/legislations/1007","http://nimonikapp.com/legislations/1007")</f>
        <v>http://nimonikapp.com/legislations/1007</v>
      </c>
      <c r="H1394" s="1" t="s">
        <v>18</v>
      </c>
      <c r="I1394" s="1" t="s">
        <v>667</v>
      </c>
      <c r="J1394" s="1" t="s">
        <v>668</v>
      </c>
      <c r="K1394" s="5">
        <v>44632.0</v>
      </c>
      <c r="L1394" s="5">
        <v>45108.0</v>
      </c>
      <c r="M1394" s="5">
        <v>44622.0</v>
      </c>
      <c r="N1394" s="1" t="s">
        <v>666</v>
      </c>
    </row>
    <row r="1395">
      <c r="A1395" s="1" t="s">
        <v>70</v>
      </c>
      <c r="B1395" s="1" t="s">
        <v>25</v>
      </c>
      <c r="C1395" s="1" t="s">
        <v>660</v>
      </c>
      <c r="D1395" s="1" t="str">
        <f>Vlookup(C1395,'Oil &amp; Gas Documents - Canada'!F:M,2,FALSE)</f>
        <v>oil_and_gas</v>
      </c>
      <c r="E1395" s="1" t="str">
        <f>Vlookup(C1395,'Oil &amp; Gas Documents - Canada'!F:N,9,FALSE)</f>
        <v/>
      </c>
      <c r="F1395" s="1" t="s">
        <v>659</v>
      </c>
      <c r="G1395" s="4" t="str">
        <f>HYPERLINK("http://nimonikapp.com/legislations/114325","http://nimonikapp.com/legislations/114325")</f>
        <v>http://nimonikapp.com/legislations/114325</v>
      </c>
      <c r="H1395" s="1" t="s">
        <v>18</v>
      </c>
      <c r="I1395" s="1" t="s">
        <v>669</v>
      </c>
      <c r="J1395" s="1" t="s">
        <v>670</v>
      </c>
      <c r="K1395" s="5">
        <v>44632.0</v>
      </c>
      <c r="L1395" s="5">
        <v>44617.0</v>
      </c>
      <c r="M1395" s="5">
        <v>44622.0</v>
      </c>
      <c r="N1395" s="1" t="s">
        <v>661</v>
      </c>
    </row>
    <row r="1396" hidden="1">
      <c r="A1396" s="1" t="s">
        <v>70</v>
      </c>
      <c r="B1396" s="1" t="s">
        <v>25</v>
      </c>
      <c r="C1396" s="1" t="s">
        <v>4120</v>
      </c>
      <c r="D1396" s="1" t="str">
        <f>Vlookup(C1396,'Oil &amp; Gas Documents - Canada'!F:M,2,FALSE)</f>
        <v>#N/A</v>
      </c>
      <c r="E1396" s="1" t="str">
        <f>Vlookup(C1396,'Oil &amp; Gas Documents - Canada'!F:N,9,FALSE)</f>
        <v>#N/A</v>
      </c>
      <c r="F1396" s="1" t="s">
        <v>4121</v>
      </c>
      <c r="G1396" s="4" t="str">
        <f>HYPERLINK("http://nimonikapp.com/legislations/104377","http://nimonikapp.com/legislations/104377")</f>
        <v>http://nimonikapp.com/legislations/104377</v>
      </c>
      <c r="H1396" s="1" t="s">
        <v>18</v>
      </c>
      <c r="I1396" s="1" t="s">
        <v>4122</v>
      </c>
      <c r="J1396" s="1" t="s">
        <v>4123</v>
      </c>
      <c r="K1396" s="5">
        <v>44632.0</v>
      </c>
      <c r="L1396" s="5">
        <v>44617.0</v>
      </c>
      <c r="M1396" s="5">
        <v>44622.0</v>
      </c>
      <c r="N1396" s="1" t="s">
        <v>4124</v>
      </c>
    </row>
    <row r="1397" hidden="1">
      <c r="A1397" s="1" t="s">
        <v>73</v>
      </c>
      <c r="B1397" s="1" t="s">
        <v>25</v>
      </c>
      <c r="C1397" s="1" t="s">
        <v>4125</v>
      </c>
      <c r="D1397" s="1" t="str">
        <f>Vlookup(C1397,'Oil &amp; Gas Documents - Canada'!F:M,2,FALSE)</f>
        <v>#N/A</v>
      </c>
      <c r="E1397" s="1" t="str">
        <f>Vlookup(C1397,'Oil &amp; Gas Documents - Canada'!F:N,9,FALSE)</f>
        <v>#N/A</v>
      </c>
      <c r="F1397" s="1" t="s">
        <v>4126</v>
      </c>
      <c r="G1397" s="4" t="str">
        <f>HYPERLINK("http://nimonikapp.com/legislations/1217","http://nimonikapp.com/legislations/1217")</f>
        <v>http://nimonikapp.com/legislations/1217</v>
      </c>
      <c r="H1397" s="1" t="s">
        <v>18</v>
      </c>
      <c r="I1397" s="1" t="s">
        <v>4127</v>
      </c>
      <c r="J1397" s="1" t="s">
        <v>4128</v>
      </c>
      <c r="K1397" s="5">
        <v>44622.0</v>
      </c>
      <c r="L1397" s="5">
        <v>44603.0</v>
      </c>
      <c r="M1397" s="5">
        <v>44622.0</v>
      </c>
      <c r="N1397" s="1" t="s">
        <v>4129</v>
      </c>
    </row>
    <row r="1398">
      <c r="A1398" s="1" t="s">
        <v>70</v>
      </c>
      <c r="B1398" s="1" t="s">
        <v>25</v>
      </c>
      <c r="C1398" s="1" t="s">
        <v>672</v>
      </c>
      <c r="D1398" s="1" t="s">
        <v>26</v>
      </c>
      <c r="E1398" s="1" t="str">
        <f>Vlookup(C1398,'Oil &amp; Gas Documents - Canada'!F:N,9,FALSE)</f>
        <v>#N/A</v>
      </c>
      <c r="F1398" s="1" t="s">
        <v>671</v>
      </c>
      <c r="G1398" s="4" t="str">
        <f>HYPERLINK("http://nimonikapp.com/legislations/1014","http://nimonikapp.com/legislations/1014")</f>
        <v>http://nimonikapp.com/legislations/1014</v>
      </c>
      <c r="H1398" s="1" t="s">
        <v>18</v>
      </c>
      <c r="I1398" s="1" t="s">
        <v>674</v>
      </c>
      <c r="J1398" s="1" t="s">
        <v>675</v>
      </c>
      <c r="K1398" s="5">
        <v>44632.0</v>
      </c>
      <c r="L1398" s="5">
        <v>44677.0</v>
      </c>
      <c r="M1398" s="5">
        <v>44622.0</v>
      </c>
      <c r="N1398" s="1" t="s">
        <v>673</v>
      </c>
    </row>
    <row r="1399" hidden="1">
      <c r="A1399" s="1" t="s">
        <v>73</v>
      </c>
      <c r="B1399" s="1" t="s">
        <v>25</v>
      </c>
      <c r="C1399" s="1" t="s">
        <v>2015</v>
      </c>
      <c r="D1399" s="1" t="str">
        <f>Vlookup(C1399,'Oil &amp; Gas Documents - Canada'!F:M,2,FALSE)</f>
        <v>#N/A</v>
      </c>
      <c r="E1399" s="1" t="str">
        <f>Vlookup(C1399,'Oil &amp; Gas Documents - Canada'!F:N,9,FALSE)</f>
        <v>#N/A</v>
      </c>
      <c r="F1399" s="1" t="s">
        <v>2016</v>
      </c>
      <c r="G1399" s="4" t="str">
        <f>HYPERLINK("http://nimonikapp.com/legislations/1595","http://nimonikapp.com/legislations/1595")</f>
        <v>http://nimonikapp.com/legislations/1595</v>
      </c>
      <c r="H1399" s="1" t="s">
        <v>18</v>
      </c>
      <c r="I1399" s="1" t="s">
        <v>4130</v>
      </c>
      <c r="J1399" s="1" t="s">
        <v>2018</v>
      </c>
      <c r="K1399" s="5">
        <v>44622.0</v>
      </c>
      <c r="L1399" s="5">
        <v>44613.0</v>
      </c>
      <c r="M1399" s="5">
        <v>44622.0</v>
      </c>
      <c r="N1399" s="1" t="s">
        <v>2019</v>
      </c>
    </row>
    <row r="1400" hidden="1">
      <c r="A1400" s="1" t="s">
        <v>73</v>
      </c>
      <c r="B1400" s="1" t="s">
        <v>25</v>
      </c>
      <c r="C1400" s="1" t="s">
        <v>2201</v>
      </c>
      <c r="D1400" s="1" t="str">
        <f>Vlookup(C1400,'Oil &amp; Gas Documents - Canada'!F:M,2,FALSE)</f>
        <v>#N/A</v>
      </c>
      <c r="E1400" s="1" t="str">
        <f>Vlookup(C1400,'Oil &amp; Gas Documents - Canada'!F:N,9,FALSE)</f>
        <v>#N/A</v>
      </c>
      <c r="F1400" s="1" t="s">
        <v>2202</v>
      </c>
      <c r="G1400" s="4" t="str">
        <f>HYPERLINK("http://nimonikapp.com/legislations/960","http://nimonikapp.com/legislations/960")</f>
        <v>http://nimonikapp.com/legislations/960</v>
      </c>
      <c r="H1400" s="1" t="s">
        <v>18</v>
      </c>
      <c r="I1400" s="1" t="s">
        <v>4131</v>
      </c>
      <c r="J1400" s="1" t="s">
        <v>2204</v>
      </c>
      <c r="K1400" s="5">
        <v>44622.0</v>
      </c>
      <c r="L1400" s="5">
        <v>44613.0</v>
      </c>
      <c r="M1400" s="5">
        <v>44622.0</v>
      </c>
      <c r="N1400" s="1" t="s">
        <v>2205</v>
      </c>
    </row>
    <row r="1401" hidden="1">
      <c r="A1401" s="1" t="s">
        <v>73</v>
      </c>
      <c r="B1401" s="1" t="s">
        <v>25</v>
      </c>
      <c r="C1401" s="1" t="s">
        <v>4132</v>
      </c>
      <c r="D1401" s="1" t="str">
        <f>Vlookup(C1401,'Oil &amp; Gas Documents - Canada'!F:M,2,FALSE)</f>
        <v>#N/A</v>
      </c>
      <c r="E1401" s="1" t="str">
        <f>Vlookup(C1401,'Oil &amp; Gas Documents - Canada'!F:N,9,FALSE)</f>
        <v>#N/A</v>
      </c>
      <c r="F1401" s="1" t="s">
        <v>4133</v>
      </c>
      <c r="G1401" s="4" t="str">
        <f>HYPERLINK("http://nimonikapp.com/legislations/317048","http://nimonikapp.com/legislations/317048")</f>
        <v>http://nimonikapp.com/legislations/317048</v>
      </c>
      <c r="H1401" s="1" t="s">
        <v>18</v>
      </c>
      <c r="I1401" s="1" t="s">
        <v>4134</v>
      </c>
      <c r="J1401" s="1" t="s">
        <v>4135</v>
      </c>
      <c r="K1401" s="5">
        <v>44622.0</v>
      </c>
      <c r="L1401" s="5">
        <v>44978.0</v>
      </c>
      <c r="M1401" s="5">
        <v>44622.0</v>
      </c>
      <c r="N1401" s="1" t="s">
        <v>4136</v>
      </c>
    </row>
    <row r="1402" hidden="1">
      <c r="A1402" s="1" t="s">
        <v>70</v>
      </c>
      <c r="B1402" s="1" t="s">
        <v>25</v>
      </c>
      <c r="C1402" s="1" t="s">
        <v>3502</v>
      </c>
      <c r="D1402" s="1" t="str">
        <f>Vlookup(C1402,'Oil &amp; Gas Documents - Canada'!F:M,2,FALSE)</f>
        <v>#N/A</v>
      </c>
      <c r="E1402" s="1" t="str">
        <f>Vlookup(C1402,'Oil &amp; Gas Documents - Canada'!F:N,9,FALSE)</f>
        <v>#N/A</v>
      </c>
      <c r="F1402" s="1" t="s">
        <v>3503</v>
      </c>
      <c r="G1402" s="4" t="str">
        <f>HYPERLINK("http://nimonikapp.com/legislations/193102","http://nimonikapp.com/legislations/193102")</f>
        <v>http://nimonikapp.com/legislations/193102</v>
      </c>
      <c r="H1402" s="1" t="s">
        <v>356</v>
      </c>
      <c r="I1402" s="1" t="s">
        <v>4137</v>
      </c>
      <c r="J1402" s="1" t="s">
        <v>3965</v>
      </c>
      <c r="K1402" s="5">
        <v>44632.0</v>
      </c>
      <c r="L1402" s="5">
        <v>44617.0</v>
      </c>
      <c r="M1402" s="5">
        <v>44622.0</v>
      </c>
      <c r="N1402" s="1" t="s">
        <v>3506</v>
      </c>
    </row>
    <row r="1403" hidden="1">
      <c r="A1403" s="1" t="s">
        <v>70</v>
      </c>
      <c r="B1403" s="1" t="s">
        <v>25</v>
      </c>
      <c r="C1403" s="1" t="s">
        <v>4138</v>
      </c>
      <c r="D1403" s="1" t="str">
        <f>Vlookup(C1403,'Oil &amp; Gas Documents - Canada'!F:M,2,FALSE)</f>
        <v>#N/A</v>
      </c>
      <c r="E1403" s="1" t="str">
        <f>Vlookup(C1403,'Oil &amp; Gas Documents - Canada'!F:N,9,FALSE)</f>
        <v>#N/A</v>
      </c>
      <c r="F1403" s="1" t="s">
        <v>4139</v>
      </c>
      <c r="G1403" s="4" t="str">
        <f>HYPERLINK("http://nimonikapp.com/legislations/1318","http://nimonikapp.com/legislations/1318")</f>
        <v>http://nimonikapp.com/legislations/1318</v>
      </c>
      <c r="H1403" s="1" t="s">
        <v>18</v>
      </c>
      <c r="I1403" s="1" t="s">
        <v>4140</v>
      </c>
      <c r="J1403" s="1" t="s">
        <v>4141</v>
      </c>
      <c r="K1403" s="5">
        <v>44632.0</v>
      </c>
      <c r="L1403" s="5">
        <v>44621.0</v>
      </c>
      <c r="M1403" s="5">
        <v>44622.0</v>
      </c>
      <c r="N1403" s="1" t="s">
        <v>4142</v>
      </c>
    </row>
    <row r="1404" hidden="1">
      <c r="A1404" s="1" t="s">
        <v>70</v>
      </c>
      <c r="B1404" s="1" t="s">
        <v>25</v>
      </c>
      <c r="C1404" s="1" t="s">
        <v>3507</v>
      </c>
      <c r="D1404" s="1" t="str">
        <f>Vlookup(C1404,'Oil &amp; Gas Documents - Canada'!F:M,2,FALSE)</f>
        <v>#N/A</v>
      </c>
      <c r="E1404" s="1" t="str">
        <f>Vlookup(C1404,'Oil &amp; Gas Documents - Canada'!F:N,9,FALSE)</f>
        <v>#N/A</v>
      </c>
      <c r="F1404" s="1" t="s">
        <v>3508</v>
      </c>
      <c r="G1404" s="4" t="str">
        <f>HYPERLINK("http://nimonikapp.com/legislations/193101","http://nimonikapp.com/legislations/193101")</f>
        <v>http://nimonikapp.com/legislations/193101</v>
      </c>
      <c r="H1404" s="1" t="s">
        <v>356</v>
      </c>
      <c r="I1404" s="1" t="s">
        <v>4143</v>
      </c>
      <c r="J1404" s="1" t="s">
        <v>4144</v>
      </c>
      <c r="K1404" s="5">
        <v>44632.0</v>
      </c>
      <c r="L1404" s="5">
        <v>44621.0</v>
      </c>
      <c r="M1404" s="5">
        <v>44622.0</v>
      </c>
      <c r="N1404" s="1" t="s">
        <v>3506</v>
      </c>
    </row>
    <row r="1405" hidden="1">
      <c r="A1405" s="1" t="s">
        <v>70</v>
      </c>
      <c r="B1405" s="1" t="s">
        <v>25</v>
      </c>
      <c r="C1405" s="1" t="s">
        <v>4145</v>
      </c>
      <c r="D1405" s="1" t="str">
        <f>Vlookup(C1405,'Oil &amp; Gas Documents - Canada'!F:M,2,FALSE)</f>
        <v>#N/A</v>
      </c>
      <c r="E1405" s="1" t="str">
        <f>Vlookup(C1405,'Oil &amp; Gas Documents - Canada'!F:N,9,FALSE)</f>
        <v>#N/A</v>
      </c>
      <c r="F1405" s="1" t="s">
        <v>4146</v>
      </c>
      <c r="G1405" s="4" t="str">
        <f>HYPERLINK("http://nimonikapp.com/legislations/4487","http://nimonikapp.com/legislations/4487")</f>
        <v>http://nimonikapp.com/legislations/4487</v>
      </c>
      <c r="H1405" s="1" t="s">
        <v>18</v>
      </c>
      <c r="I1405" s="1" t="s">
        <v>4147</v>
      </c>
      <c r="J1405" s="1" t="s">
        <v>4148</v>
      </c>
      <c r="K1405" s="5">
        <v>44639.0</v>
      </c>
      <c r="L1405" s="5">
        <v>44621.0</v>
      </c>
      <c r="M1405" s="5">
        <v>44622.0</v>
      </c>
      <c r="N1405" s="1" t="s">
        <v>4149</v>
      </c>
    </row>
    <row r="1406" hidden="1">
      <c r="A1406" s="1" t="s">
        <v>70</v>
      </c>
      <c r="B1406" s="1" t="s">
        <v>25</v>
      </c>
      <c r="C1406" s="1" t="s">
        <v>4150</v>
      </c>
      <c r="D1406" s="1" t="str">
        <f>Vlookup(C1406,'Oil &amp; Gas Documents - Canada'!F:M,2,FALSE)</f>
        <v>#N/A</v>
      </c>
      <c r="E1406" s="1" t="str">
        <f>Vlookup(C1406,'Oil &amp; Gas Documents - Canada'!F:N,9,FALSE)</f>
        <v>#N/A</v>
      </c>
      <c r="F1406" s="1" t="s">
        <v>4151</v>
      </c>
      <c r="G1406" s="4" t="str">
        <f>HYPERLINK("http://nimonikapp.com/legislations/103879","http://nimonikapp.com/legislations/103879")</f>
        <v>http://nimonikapp.com/legislations/103879</v>
      </c>
      <c r="H1406" s="1" t="s">
        <v>18</v>
      </c>
      <c r="I1406" s="1" t="s">
        <v>4152</v>
      </c>
      <c r="J1406" s="1" t="s">
        <v>4153</v>
      </c>
      <c r="K1406" s="5">
        <v>44639.0</v>
      </c>
      <c r="L1406" s="5">
        <v>44621.0</v>
      </c>
      <c r="M1406" s="5">
        <v>44622.0</v>
      </c>
    </row>
    <row r="1407" hidden="1">
      <c r="A1407" s="1" t="s">
        <v>73</v>
      </c>
      <c r="B1407" s="1" t="s">
        <v>25</v>
      </c>
      <c r="C1407" s="1" t="s">
        <v>2215</v>
      </c>
      <c r="D1407" s="1" t="str">
        <f>Vlookup(C1407,'Oil &amp; Gas Documents - Canada'!F:M,2,FALSE)</f>
        <v>#N/A</v>
      </c>
      <c r="E1407" s="1" t="str">
        <f>Vlookup(C1407,'Oil &amp; Gas Documents - Canada'!F:N,9,FALSE)</f>
        <v>#N/A</v>
      </c>
      <c r="F1407" s="1" t="s">
        <v>2216</v>
      </c>
      <c r="G1407" s="4" t="str">
        <f>HYPERLINK("http://nimonikapp.com/legislations/317078","http://nimonikapp.com/legislations/317078")</f>
        <v>http://nimonikapp.com/legislations/317078</v>
      </c>
      <c r="H1407" s="1" t="s">
        <v>18</v>
      </c>
      <c r="I1407" s="1" t="s">
        <v>4154</v>
      </c>
      <c r="J1407" s="1" t="s">
        <v>4155</v>
      </c>
      <c r="K1407" s="5">
        <v>44622.0</v>
      </c>
      <c r="L1407" s="5">
        <v>44603.0</v>
      </c>
      <c r="M1407" s="5">
        <v>44622.0</v>
      </c>
      <c r="N1407" s="1" t="s">
        <v>2219</v>
      </c>
    </row>
    <row r="1408" hidden="1">
      <c r="A1408" s="1" t="s">
        <v>73</v>
      </c>
      <c r="B1408" s="1" t="s">
        <v>25</v>
      </c>
      <c r="C1408" s="1" t="s">
        <v>1703</v>
      </c>
      <c r="D1408" s="1" t="str">
        <f>Vlookup(C1408,'Oil &amp; Gas Documents - Canada'!F:M,2,FALSE)</f>
        <v>#N/A</v>
      </c>
      <c r="E1408" s="1" t="str">
        <f>Vlookup(C1408,'Oil &amp; Gas Documents - Canada'!F:N,9,FALSE)</f>
        <v>#N/A</v>
      </c>
      <c r="F1408" s="1" t="s">
        <v>1704</v>
      </c>
      <c r="G1408" s="4" t="str">
        <f>HYPERLINK("http://nimonikapp.com/legislations/116860","http://nimonikapp.com/legislations/116860")</f>
        <v>http://nimonikapp.com/legislations/116860</v>
      </c>
      <c r="H1408" s="1" t="s">
        <v>18</v>
      </c>
      <c r="I1408" s="1" t="s">
        <v>4154</v>
      </c>
      <c r="J1408" s="1" t="s">
        <v>4155</v>
      </c>
      <c r="K1408" s="5">
        <v>44622.0</v>
      </c>
      <c r="L1408" s="5">
        <v>44603.0</v>
      </c>
      <c r="M1408" s="5">
        <v>44622.0</v>
      </c>
      <c r="N1408" s="1" t="s">
        <v>1705</v>
      </c>
    </row>
    <row r="1409" hidden="1">
      <c r="A1409" s="1" t="s">
        <v>73</v>
      </c>
      <c r="B1409" s="1" t="s">
        <v>25</v>
      </c>
      <c r="C1409" s="1" t="s">
        <v>4156</v>
      </c>
      <c r="D1409" s="1" t="str">
        <f>Vlookup(C1409,'Oil &amp; Gas Documents - Canada'!F:M,2,FALSE)</f>
        <v>#N/A</v>
      </c>
      <c r="E1409" s="1" t="str">
        <f>Vlookup(C1409,'Oil &amp; Gas Documents - Canada'!F:N,9,FALSE)</f>
        <v>#N/A</v>
      </c>
      <c r="F1409" s="1" t="s">
        <v>4157</v>
      </c>
      <c r="G1409" s="4" t="str">
        <f>HYPERLINK("http://nimonikapp.com/legislations/321680","http://nimonikapp.com/legislations/321680")</f>
        <v>http://nimonikapp.com/legislations/321680</v>
      </c>
      <c r="H1409" s="1" t="s">
        <v>18</v>
      </c>
      <c r="I1409" s="1" t="s">
        <v>4154</v>
      </c>
      <c r="J1409" s="1" t="s">
        <v>4155</v>
      </c>
      <c r="K1409" s="5">
        <v>44622.0</v>
      </c>
      <c r="L1409" s="5">
        <v>44603.0</v>
      </c>
      <c r="M1409" s="5">
        <v>44622.0</v>
      </c>
      <c r="N1409" s="1" t="s">
        <v>4158</v>
      </c>
    </row>
    <row r="1410" hidden="1">
      <c r="A1410" s="1" t="s">
        <v>73</v>
      </c>
      <c r="B1410" s="1" t="s">
        <v>364</v>
      </c>
      <c r="C1410" s="1" t="s">
        <v>4159</v>
      </c>
      <c r="D1410" s="1" t="str">
        <f>Vlookup(C1410,'Oil &amp; Gas Documents - Canada'!F:M,2,FALSE)</f>
        <v>#N/A</v>
      </c>
      <c r="E1410" s="1" t="str">
        <f>Vlookup(C1410,'Oil &amp; Gas Documents - Canada'!F:N,9,FALSE)</f>
        <v>#N/A</v>
      </c>
      <c r="F1410" s="1" t="s">
        <v>4160</v>
      </c>
      <c r="G1410" s="4" t="str">
        <f>HYPERLINK("http://nimonikapp.com/legislations/322098","http://nimonikapp.com/legislations/322098")</f>
        <v>http://nimonikapp.com/legislations/322098</v>
      </c>
      <c r="H1410" s="1" t="s">
        <v>356</v>
      </c>
      <c r="I1410" s="1" t="s">
        <v>4161</v>
      </c>
      <c r="J1410" s="1" t="s">
        <v>4162</v>
      </c>
      <c r="K1410" s="5">
        <v>44618.0</v>
      </c>
      <c r="L1410" s="5">
        <v>44589.0</v>
      </c>
      <c r="M1410" s="5">
        <v>44621.0</v>
      </c>
      <c r="N1410" s="1" t="s">
        <v>4163</v>
      </c>
    </row>
    <row r="1411" hidden="1">
      <c r="A1411" s="1" t="s">
        <v>73</v>
      </c>
      <c r="B1411" s="1" t="s">
        <v>25</v>
      </c>
      <c r="C1411" s="1" t="s">
        <v>4164</v>
      </c>
      <c r="D1411" s="1" t="str">
        <f>Vlookup(C1411,'Oil &amp; Gas Documents - Canada'!F:M,2,FALSE)</f>
        <v>#N/A</v>
      </c>
      <c r="E1411" s="1" t="str">
        <f>Vlookup(C1411,'Oil &amp; Gas Documents - Canada'!F:N,9,FALSE)</f>
        <v>#N/A</v>
      </c>
      <c r="F1411" s="1" t="s">
        <v>4165</v>
      </c>
      <c r="G1411" s="4" t="str">
        <f>HYPERLINK("http://nimonikapp.com/legislations/321601","http://nimonikapp.com/legislations/321601")</f>
        <v>http://nimonikapp.com/legislations/321601</v>
      </c>
      <c r="H1411" s="1" t="s">
        <v>18</v>
      </c>
      <c r="I1411" s="1" t="s">
        <v>4166</v>
      </c>
      <c r="J1411" s="1" t="s">
        <v>4167</v>
      </c>
      <c r="K1411" s="5">
        <v>44618.0</v>
      </c>
      <c r="M1411" s="5">
        <v>44621.0</v>
      </c>
      <c r="N1411" s="1" t="s">
        <v>4168</v>
      </c>
    </row>
    <row r="1412" hidden="1">
      <c r="A1412" s="1" t="s">
        <v>73</v>
      </c>
      <c r="B1412" s="1" t="s">
        <v>364</v>
      </c>
      <c r="C1412" s="1" t="s">
        <v>4161</v>
      </c>
      <c r="D1412" s="1" t="str">
        <f>Vlookup(C1412,'Oil &amp; Gas Documents - Canada'!F:M,2,FALSE)</f>
        <v>#N/A</v>
      </c>
      <c r="E1412" s="1" t="str">
        <f>Vlookup(C1412,'Oil &amp; Gas Documents - Canada'!F:N,9,FALSE)</f>
        <v>#N/A</v>
      </c>
      <c r="F1412" s="1" t="s">
        <v>4162</v>
      </c>
      <c r="G1412" s="4" t="str">
        <f>HYPERLINK("http://nimonikapp.com/legislations/336656","http://nimonikapp.com/legislations/336656")</f>
        <v>http://nimonikapp.com/legislations/336656</v>
      </c>
      <c r="H1412" s="1" t="s">
        <v>356</v>
      </c>
      <c r="I1412" s="1" t="s">
        <v>4005</v>
      </c>
      <c r="J1412" s="1" t="s">
        <v>4006</v>
      </c>
      <c r="K1412" s="5">
        <v>44618.0</v>
      </c>
      <c r="L1412" s="5">
        <v>44602.0</v>
      </c>
      <c r="M1412" s="5">
        <v>44621.0</v>
      </c>
      <c r="N1412" s="1" t="s">
        <v>4169</v>
      </c>
    </row>
    <row r="1413" hidden="1">
      <c r="A1413" s="1" t="s">
        <v>73</v>
      </c>
      <c r="B1413" s="1" t="s">
        <v>25</v>
      </c>
      <c r="C1413" s="1" t="s">
        <v>4170</v>
      </c>
      <c r="D1413" s="1" t="str">
        <f>Vlookup(C1413,'Oil &amp; Gas Documents - Canada'!F:M,2,FALSE)</f>
        <v>#N/A</v>
      </c>
      <c r="E1413" s="1" t="str">
        <f>Vlookup(C1413,'Oil &amp; Gas Documents - Canada'!F:N,9,FALSE)</f>
        <v>#N/A</v>
      </c>
      <c r="F1413" s="1" t="s">
        <v>4171</v>
      </c>
      <c r="G1413" s="4" t="str">
        <f>HYPERLINK("http://nimonikapp.com/legislations/319374","http://nimonikapp.com/legislations/319374")</f>
        <v>http://nimonikapp.com/legislations/319374</v>
      </c>
      <c r="H1413" s="1" t="s">
        <v>18</v>
      </c>
      <c r="I1413" s="1" t="s">
        <v>4172</v>
      </c>
      <c r="J1413" s="1" t="s">
        <v>4173</v>
      </c>
      <c r="K1413" s="5">
        <v>44618.0</v>
      </c>
      <c r="M1413" s="5">
        <v>44621.0</v>
      </c>
      <c r="N1413" s="1" t="s">
        <v>4174</v>
      </c>
    </row>
    <row r="1414" hidden="1">
      <c r="A1414" s="1" t="s">
        <v>202</v>
      </c>
      <c r="B1414" s="1" t="s">
        <v>25</v>
      </c>
      <c r="C1414" s="1" t="s">
        <v>1120</v>
      </c>
      <c r="D1414" s="1" t="str">
        <f>Vlookup(C1414,'Oil &amp; Gas Documents - Canada'!F:M,2,FALSE)</f>
        <v>#N/A</v>
      </c>
      <c r="E1414" s="1" t="str">
        <f>Vlookup(C1414,'Oil &amp; Gas Documents - Canada'!F:N,9,FALSE)</f>
        <v>#N/A</v>
      </c>
      <c r="F1414" s="1" t="s">
        <v>1121</v>
      </c>
      <c r="G1414" s="4" t="str">
        <f>HYPERLINK("http://nimonikapp.com/legislations/114490","http://nimonikapp.com/legislations/114490")</f>
        <v>http://nimonikapp.com/legislations/114490</v>
      </c>
      <c r="H1414" s="1" t="s">
        <v>18</v>
      </c>
      <c r="I1414" s="1" t="s">
        <v>4175</v>
      </c>
      <c r="J1414" s="1" t="s">
        <v>4176</v>
      </c>
      <c r="K1414" s="5">
        <v>44618.0</v>
      </c>
      <c r="M1414" s="5">
        <v>44621.0</v>
      </c>
      <c r="N1414" s="1" t="s">
        <v>1124</v>
      </c>
    </row>
    <row r="1415" hidden="1">
      <c r="A1415" s="1" t="s">
        <v>24</v>
      </c>
      <c r="B1415" s="1" t="s">
        <v>25</v>
      </c>
      <c r="C1415" s="1" t="s">
        <v>4177</v>
      </c>
      <c r="D1415" s="1" t="str">
        <f>Vlookup(C1415,'Oil &amp; Gas Documents - Canada'!F:M,2,FALSE)</f>
        <v>#N/A</v>
      </c>
      <c r="E1415" s="1" t="str">
        <f>Vlookup(C1415,'Oil &amp; Gas Documents - Canada'!F:N,9,FALSE)</f>
        <v>#N/A</v>
      </c>
      <c r="F1415" s="1" t="s">
        <v>4178</v>
      </c>
      <c r="G1415" s="4" t="str">
        <f>HYPERLINK("http://nimonikapp.com/legislations/122170","http://nimonikapp.com/legislations/122170")</f>
        <v>http://nimonikapp.com/legislations/122170</v>
      </c>
      <c r="H1415" s="1" t="s">
        <v>18</v>
      </c>
      <c r="I1415" s="1" t="s">
        <v>4179</v>
      </c>
      <c r="J1415" s="1" t="s">
        <v>4180</v>
      </c>
      <c r="K1415" s="5">
        <v>44614.0</v>
      </c>
      <c r="L1415" s="5">
        <v>44804.0</v>
      </c>
      <c r="M1415" s="5">
        <v>44621.0</v>
      </c>
      <c r="N1415" s="1" t="s">
        <v>4181</v>
      </c>
    </row>
    <row r="1416">
      <c r="A1416" s="1" t="s">
        <v>24</v>
      </c>
      <c r="B1416" s="1" t="s">
        <v>25</v>
      </c>
      <c r="C1416" s="1" t="s">
        <v>569</v>
      </c>
      <c r="D1416" s="1" t="s">
        <v>26</v>
      </c>
      <c r="E1416" s="1" t="str">
        <f>Vlookup(C1416,'Oil &amp; Gas Documents - Canada'!F:N,9,FALSE)</f>
        <v>#N/A</v>
      </c>
      <c r="F1416" s="1" t="s">
        <v>568</v>
      </c>
      <c r="G1416" s="4" t="str">
        <f>HYPERLINK("http://nimonikapp.com/legislations/7012","http://nimonikapp.com/legislations/7012")</f>
        <v>http://nimonikapp.com/legislations/7012</v>
      </c>
      <c r="H1416" s="1" t="s">
        <v>18</v>
      </c>
      <c r="I1416" s="1" t="s">
        <v>676</v>
      </c>
      <c r="J1416" s="1" t="s">
        <v>677</v>
      </c>
      <c r="K1416" s="5">
        <v>44614.0</v>
      </c>
      <c r="L1416" s="5">
        <v>44614.0</v>
      </c>
      <c r="M1416" s="5">
        <v>44621.0</v>
      </c>
      <c r="N1416" s="1" t="s">
        <v>570</v>
      </c>
    </row>
    <row r="1417" hidden="1">
      <c r="A1417" s="1" t="s">
        <v>24</v>
      </c>
      <c r="B1417" s="1" t="s">
        <v>25</v>
      </c>
      <c r="C1417" s="1" t="s">
        <v>4182</v>
      </c>
      <c r="D1417" s="1" t="str">
        <f>Vlookup(C1417,'Oil &amp; Gas Documents - Canada'!F:M,2,FALSE)</f>
        <v>#N/A</v>
      </c>
      <c r="E1417" s="1" t="str">
        <f>Vlookup(C1417,'Oil &amp; Gas Documents - Canada'!F:N,9,FALSE)</f>
        <v>#N/A</v>
      </c>
      <c r="F1417" s="1" t="s">
        <v>4183</v>
      </c>
      <c r="G1417" s="4" t="str">
        <f>HYPERLINK("http://nimonikapp.com/legislations/298904","http://nimonikapp.com/legislations/298904")</f>
        <v>http://nimonikapp.com/legislations/298904</v>
      </c>
      <c r="H1417" s="1" t="s">
        <v>18</v>
      </c>
      <c r="I1417" s="1" t="s">
        <v>4184</v>
      </c>
      <c r="J1417" s="1" t="s">
        <v>4185</v>
      </c>
      <c r="K1417" s="5">
        <v>44614.0</v>
      </c>
      <c r="L1417" s="5">
        <v>44610.0</v>
      </c>
      <c r="M1417" s="5">
        <v>44621.0</v>
      </c>
      <c r="N1417" s="1" t="s">
        <v>4186</v>
      </c>
    </row>
    <row r="1418">
      <c r="A1418" s="1" t="s">
        <v>21</v>
      </c>
      <c r="B1418" s="1" t="s">
        <v>25</v>
      </c>
      <c r="C1418" s="1" t="s">
        <v>283</v>
      </c>
      <c r="D1418" s="1" t="str">
        <f>Vlookup(C1418,'Oil &amp; Gas Documents - Canada'!F:M,2,FALSE)</f>
        <v>oil_and_gas, utilities_and_communications</v>
      </c>
      <c r="E1418" s="1" t="str">
        <f>Vlookup(C1418,'Oil &amp; Gas Documents - Canada'!F:N,9,FALSE)</f>
        <v/>
      </c>
      <c r="F1418" s="1" t="s">
        <v>282</v>
      </c>
      <c r="G1418" s="4" t="str">
        <f>HYPERLINK("http://nimonikapp.com/legislations/91182","http://nimonikapp.com/legislations/91182")</f>
        <v>http://nimonikapp.com/legislations/91182</v>
      </c>
      <c r="H1418" s="1" t="s">
        <v>18</v>
      </c>
      <c r="I1418" s="1" t="s">
        <v>678</v>
      </c>
      <c r="J1418" s="1" t="s">
        <v>679</v>
      </c>
      <c r="K1418" s="5">
        <v>44546.0</v>
      </c>
      <c r="L1418" s="5">
        <v>44546.0</v>
      </c>
      <c r="M1418" s="5">
        <v>44617.0</v>
      </c>
      <c r="N1418" s="1" t="s">
        <v>284</v>
      </c>
    </row>
    <row r="1419">
      <c r="A1419" s="1" t="s">
        <v>21</v>
      </c>
      <c r="B1419" s="1" t="s">
        <v>25</v>
      </c>
      <c r="C1419" s="1" t="s">
        <v>681</v>
      </c>
      <c r="D1419" s="1" t="str">
        <f>Vlookup(C1419,'Oil &amp; Gas Documents - Canada'!F:M,2,FALSE)</f>
        <v>oil_and_gas</v>
      </c>
      <c r="E1419" s="1" t="str">
        <f>Vlookup(C1419,'Oil &amp; Gas Documents - Canada'!F:N,9,FALSE)</f>
        <v/>
      </c>
      <c r="F1419" s="1" t="s">
        <v>680</v>
      </c>
      <c r="G1419" s="4" t="str">
        <f>HYPERLINK("http://nimonikapp.com/legislations/91187","http://nimonikapp.com/legislations/91187")</f>
        <v>http://nimonikapp.com/legislations/91187</v>
      </c>
      <c r="H1419" s="1" t="s">
        <v>18</v>
      </c>
      <c r="I1419" s="1" t="s">
        <v>683</v>
      </c>
      <c r="J1419" s="1" t="s">
        <v>684</v>
      </c>
      <c r="K1419" s="5">
        <v>44504.0</v>
      </c>
      <c r="L1419" s="5">
        <v>44504.0</v>
      </c>
      <c r="M1419" s="5">
        <v>44617.0</v>
      </c>
      <c r="N1419" s="1" t="s">
        <v>682</v>
      </c>
    </row>
    <row r="1420" hidden="1">
      <c r="A1420" s="1" t="s">
        <v>202</v>
      </c>
      <c r="B1420" s="1" t="s">
        <v>25</v>
      </c>
      <c r="C1420" s="1" t="s">
        <v>4089</v>
      </c>
      <c r="D1420" s="1" t="str">
        <f>Vlookup(C1420,'Oil &amp; Gas Documents - Canada'!F:M,2,FALSE)</f>
        <v>#N/A</v>
      </c>
      <c r="E1420" s="1" t="str">
        <f>Vlookup(C1420,'Oil &amp; Gas Documents - Canada'!F:N,9,FALSE)</f>
        <v>#N/A</v>
      </c>
      <c r="F1420" s="1" t="s">
        <v>1410</v>
      </c>
      <c r="G1420" s="4" t="str">
        <f>HYPERLINK("http://nimonikapp.com/legislations/297642","http://nimonikapp.com/legislations/297642")</f>
        <v>http://nimonikapp.com/legislations/297642</v>
      </c>
      <c r="H1420" s="1" t="s">
        <v>18</v>
      </c>
      <c r="I1420" s="1" t="s">
        <v>4187</v>
      </c>
      <c r="J1420" s="1" t="s">
        <v>1410</v>
      </c>
      <c r="K1420" s="5">
        <v>44616.0</v>
      </c>
      <c r="L1420" s="5">
        <v>44613.0</v>
      </c>
      <c r="M1420" s="5">
        <v>44616.0</v>
      </c>
      <c r="N1420" s="1" t="s">
        <v>4091</v>
      </c>
    </row>
    <row r="1421" hidden="1">
      <c r="A1421" s="1" t="s">
        <v>24</v>
      </c>
      <c r="B1421" s="1" t="s">
        <v>15</v>
      </c>
      <c r="C1421" s="1" t="s">
        <v>4188</v>
      </c>
      <c r="D1421" s="1" t="str">
        <f>Vlookup(C1421,'Oil &amp; Gas Documents - Canada'!F:M,2,FALSE)</f>
        <v>#N/A</v>
      </c>
      <c r="E1421" s="1" t="str">
        <f>Vlookup(C1421,'Oil &amp; Gas Documents - Canada'!F:N,9,FALSE)</f>
        <v>#N/A</v>
      </c>
      <c r="F1421" s="1" t="s">
        <v>4189</v>
      </c>
      <c r="G1421" s="4" t="str">
        <f>HYPERLINK("http://nimonikapp.com/legislations/326806","http://nimonikapp.com/legislations/326806")</f>
        <v>http://nimonikapp.com/legislations/326806</v>
      </c>
      <c r="H1421" s="1" t="s">
        <v>516</v>
      </c>
      <c r="K1421" s="5">
        <v>44606.0</v>
      </c>
      <c r="M1421" s="5">
        <v>44615.0</v>
      </c>
    </row>
    <row r="1422" hidden="1">
      <c r="A1422" s="1" t="s">
        <v>202</v>
      </c>
      <c r="B1422" s="1" t="s">
        <v>25</v>
      </c>
      <c r="C1422" s="1" t="s">
        <v>4008</v>
      </c>
      <c r="D1422" s="1" t="str">
        <f>Vlookup(C1422,'Oil &amp; Gas Documents - Canada'!F:M,2,FALSE)</f>
        <v>#N/A</v>
      </c>
      <c r="E1422" s="1" t="str">
        <f>Vlookup(C1422,'Oil &amp; Gas Documents - Canada'!F:N,9,FALSE)</f>
        <v>#N/A</v>
      </c>
      <c r="F1422" s="1" t="s">
        <v>4009</v>
      </c>
      <c r="G1422" s="4" t="str">
        <f>HYPERLINK("http://nimonikapp.com/legislations/7073","http://nimonikapp.com/legislations/7073")</f>
        <v>http://nimonikapp.com/legislations/7073</v>
      </c>
      <c r="H1422" s="1" t="s">
        <v>18</v>
      </c>
      <c r="I1422" s="1" t="s">
        <v>4190</v>
      </c>
      <c r="J1422" s="1" t="s">
        <v>4191</v>
      </c>
      <c r="K1422" s="5">
        <v>44615.0</v>
      </c>
      <c r="L1422" s="5">
        <v>44630.0</v>
      </c>
      <c r="M1422" s="5">
        <v>44615.0</v>
      </c>
      <c r="N1422" s="1" t="s">
        <v>4012</v>
      </c>
    </row>
    <row r="1423" hidden="1">
      <c r="A1423" s="1" t="s">
        <v>24</v>
      </c>
      <c r="B1423" s="1" t="s">
        <v>15</v>
      </c>
      <c r="C1423" s="1" t="s">
        <v>4192</v>
      </c>
      <c r="D1423" s="1" t="str">
        <f>Vlookup(C1423,'Oil &amp; Gas Documents - Canada'!F:M,2,FALSE)</f>
        <v>#N/A</v>
      </c>
      <c r="E1423" s="1" t="str">
        <f>Vlookup(C1423,'Oil &amp; Gas Documents - Canada'!F:N,9,FALSE)</f>
        <v>#N/A</v>
      </c>
      <c r="F1423" s="1" t="s">
        <v>4193</v>
      </c>
      <c r="G1423" s="4" t="str">
        <f>HYPERLINK("http://nimonikapp.com/legislations/326780","http://nimonikapp.com/legislations/326780")</f>
        <v>http://nimonikapp.com/legislations/326780</v>
      </c>
      <c r="H1423" s="1" t="s">
        <v>516</v>
      </c>
      <c r="K1423" s="5">
        <v>44609.0</v>
      </c>
      <c r="M1423" s="5">
        <v>44614.0</v>
      </c>
    </row>
    <row r="1424" hidden="1">
      <c r="A1424" s="1" t="s">
        <v>24</v>
      </c>
      <c r="B1424" s="1" t="s">
        <v>15</v>
      </c>
      <c r="C1424" s="1" t="s">
        <v>4194</v>
      </c>
      <c r="D1424" s="1" t="str">
        <f>Vlookup(C1424,'Oil &amp; Gas Documents - Canada'!F:M,2,FALSE)</f>
        <v>#N/A</v>
      </c>
      <c r="E1424" s="1" t="str">
        <f>Vlookup(C1424,'Oil &amp; Gas Documents - Canada'!F:N,9,FALSE)</f>
        <v>#N/A</v>
      </c>
      <c r="F1424" s="1" t="s">
        <v>4195</v>
      </c>
      <c r="G1424" s="4" t="str">
        <f>HYPERLINK("http://nimonikapp.com/legislations/326779","http://nimonikapp.com/legislations/326779")</f>
        <v>http://nimonikapp.com/legislations/326779</v>
      </c>
      <c r="H1424" s="1" t="s">
        <v>516</v>
      </c>
      <c r="K1424" s="5">
        <v>44609.0</v>
      </c>
      <c r="M1424" s="5">
        <v>44614.0</v>
      </c>
    </row>
    <row r="1425" hidden="1">
      <c r="A1425" s="1" t="s">
        <v>99</v>
      </c>
      <c r="B1425" s="1" t="s">
        <v>15</v>
      </c>
      <c r="C1425" s="1" t="s">
        <v>4196</v>
      </c>
      <c r="D1425" s="1" t="str">
        <f>Vlookup(C1425,'Oil &amp; Gas Documents - Canada'!F:M,2,FALSE)</f>
        <v>#N/A</v>
      </c>
      <c r="E1425" s="1" t="str">
        <f>Vlookup(C1425,'Oil &amp; Gas Documents - Canada'!F:N,9,FALSE)</f>
        <v>#N/A</v>
      </c>
      <c r="F1425" s="1" t="s">
        <v>4197</v>
      </c>
      <c r="G1425" s="4" t="str">
        <f>HYPERLINK("http://nimonikapp.com/legislations/326789","http://nimonikapp.com/legislations/326789")</f>
        <v>http://nimonikapp.com/legislations/326789</v>
      </c>
      <c r="H1425" s="1" t="s">
        <v>516</v>
      </c>
      <c r="K1425" s="5">
        <v>44614.0</v>
      </c>
      <c r="M1425" s="5">
        <v>44614.0</v>
      </c>
    </row>
    <row r="1426" hidden="1">
      <c r="A1426" s="1" t="s">
        <v>24</v>
      </c>
      <c r="B1426" s="1" t="s">
        <v>25</v>
      </c>
      <c r="C1426" s="1" t="s">
        <v>4198</v>
      </c>
      <c r="D1426" s="1" t="str">
        <f>Vlookup(C1426,'Oil &amp; Gas Documents - Canada'!F:M,2,FALSE)</f>
        <v>#N/A</v>
      </c>
      <c r="E1426" s="1" t="str">
        <f>Vlookup(C1426,'Oil &amp; Gas Documents - Canada'!F:N,9,FALSE)</f>
        <v>#N/A</v>
      </c>
      <c r="F1426" s="1" t="s">
        <v>4199</v>
      </c>
      <c r="G1426" s="4" t="str">
        <f>HYPERLINK("http://nimonikapp.com/legislations/1127","http://nimonikapp.com/legislations/1127")</f>
        <v>http://nimonikapp.com/legislations/1127</v>
      </c>
      <c r="H1426" s="1" t="s">
        <v>18</v>
      </c>
      <c r="I1426" s="1" t="s">
        <v>4200</v>
      </c>
      <c r="J1426" s="1" t="s">
        <v>4201</v>
      </c>
      <c r="K1426" s="5">
        <v>44607.0</v>
      </c>
      <c r="L1426" s="5">
        <v>44606.0</v>
      </c>
      <c r="M1426" s="5">
        <v>44614.0</v>
      </c>
      <c r="N1426" s="1" t="s">
        <v>4202</v>
      </c>
    </row>
    <row r="1427" hidden="1">
      <c r="A1427" s="1" t="s">
        <v>14</v>
      </c>
      <c r="B1427" s="1" t="s">
        <v>25</v>
      </c>
      <c r="C1427" s="1" t="s">
        <v>4203</v>
      </c>
      <c r="D1427" s="1" t="str">
        <f>Vlookup(C1427,'Oil &amp; Gas Documents - Canada'!F:M,2,FALSE)</f>
        <v>#N/A</v>
      </c>
      <c r="E1427" s="1" t="str">
        <f>Vlookup(C1427,'Oil &amp; Gas Documents - Canada'!F:N,9,FALSE)</f>
        <v>#N/A</v>
      </c>
      <c r="F1427" s="1" t="s">
        <v>4204</v>
      </c>
      <c r="G1427" s="4" t="str">
        <f>HYPERLINK("http://nimonikapp.com/legislations/3655","http://nimonikapp.com/legislations/3655")</f>
        <v>http://nimonikapp.com/legislations/3655</v>
      </c>
      <c r="H1427" s="1" t="s">
        <v>18</v>
      </c>
      <c r="I1427" s="1" t="s">
        <v>4205</v>
      </c>
      <c r="J1427" s="1" t="s">
        <v>4206</v>
      </c>
      <c r="K1427" s="5">
        <v>44610.0</v>
      </c>
      <c r="L1427" s="5">
        <v>44601.0</v>
      </c>
      <c r="M1427" s="5">
        <v>44614.0</v>
      </c>
      <c r="N1427" s="1" t="s">
        <v>4207</v>
      </c>
    </row>
    <row r="1428" hidden="1">
      <c r="A1428" s="1" t="s">
        <v>14</v>
      </c>
      <c r="B1428" s="1" t="s">
        <v>352</v>
      </c>
      <c r="C1428" s="1" t="s">
        <v>4208</v>
      </c>
      <c r="D1428" s="1" t="str">
        <f>Vlookup(C1428,'Oil &amp; Gas Documents - Canada'!F:M,2,FALSE)</f>
        <v>#N/A</v>
      </c>
      <c r="E1428" s="1" t="str">
        <f>Vlookup(C1428,'Oil &amp; Gas Documents - Canada'!F:N,9,FALSE)</f>
        <v>#N/A</v>
      </c>
      <c r="F1428" s="1" t="s">
        <v>4209</v>
      </c>
      <c r="G1428" s="4" t="str">
        <f>HYPERLINK("http://nimonikapp.com/legislations/307494","http://nimonikapp.com/legislations/307494")</f>
        <v>http://nimonikapp.com/legislations/307494</v>
      </c>
      <c r="H1428" s="1" t="s">
        <v>356</v>
      </c>
      <c r="I1428" s="1" t="s">
        <v>4210</v>
      </c>
      <c r="J1428" s="1" t="s">
        <v>4211</v>
      </c>
      <c r="K1428" s="5">
        <v>44610.0</v>
      </c>
      <c r="L1428" s="5">
        <v>44606.0</v>
      </c>
      <c r="M1428" s="5">
        <v>44614.0</v>
      </c>
      <c r="N1428" s="1" t="s">
        <v>4212</v>
      </c>
    </row>
    <row r="1429" hidden="1">
      <c r="A1429" s="1" t="s">
        <v>221</v>
      </c>
      <c r="B1429" s="1" t="s">
        <v>25</v>
      </c>
      <c r="C1429" s="1" t="s">
        <v>2754</v>
      </c>
      <c r="D1429" s="1" t="str">
        <f>Vlookup(C1429,'Oil &amp; Gas Documents - Canada'!F:M,2,FALSE)</f>
        <v>#N/A</v>
      </c>
      <c r="E1429" s="1" t="str">
        <f>Vlookup(C1429,'Oil &amp; Gas Documents - Canada'!F:N,9,FALSE)</f>
        <v>#N/A</v>
      </c>
      <c r="F1429" s="1" t="s">
        <v>2755</v>
      </c>
      <c r="G1429" s="4" t="str">
        <f>HYPERLINK("http://nimonikapp.com/legislations/256","http://nimonikapp.com/legislations/256")</f>
        <v>http://nimonikapp.com/legislations/256</v>
      </c>
      <c r="H1429" s="1" t="s">
        <v>18</v>
      </c>
      <c r="I1429" s="1" t="s">
        <v>4213</v>
      </c>
      <c r="J1429" s="1" t="s">
        <v>4214</v>
      </c>
      <c r="K1429" s="5">
        <v>44607.0</v>
      </c>
      <c r="M1429" s="5">
        <v>44614.0</v>
      </c>
      <c r="N1429" s="1" t="s">
        <v>2758</v>
      </c>
    </row>
    <row r="1430" hidden="1">
      <c r="A1430" s="1" t="s">
        <v>221</v>
      </c>
      <c r="B1430" s="1" t="s">
        <v>25</v>
      </c>
      <c r="C1430" s="1" t="s">
        <v>2472</v>
      </c>
      <c r="D1430" s="1" t="str">
        <f>Vlookup(C1430,'Oil &amp; Gas Documents - Canada'!F:M,2,FALSE)</f>
        <v>#N/A</v>
      </c>
      <c r="E1430" s="1" t="str">
        <f>Vlookup(C1430,'Oil &amp; Gas Documents - Canada'!F:N,9,FALSE)</f>
        <v>#N/A</v>
      </c>
      <c r="F1430" s="1" t="s">
        <v>2473</v>
      </c>
      <c r="G1430" s="4" t="str">
        <f>HYPERLINK("http://nimonikapp.com/legislations/10637","http://nimonikapp.com/legislations/10637")</f>
        <v>http://nimonikapp.com/legislations/10637</v>
      </c>
      <c r="H1430" s="1" t="s">
        <v>18</v>
      </c>
      <c r="I1430" s="1" t="s">
        <v>4213</v>
      </c>
      <c r="J1430" s="1" t="s">
        <v>4214</v>
      </c>
      <c r="K1430" s="5">
        <v>44607.0</v>
      </c>
      <c r="M1430" s="5">
        <v>44614.0</v>
      </c>
      <c r="N1430" s="1" t="s">
        <v>2476</v>
      </c>
    </row>
    <row r="1431" hidden="1">
      <c r="A1431" s="1" t="s">
        <v>221</v>
      </c>
      <c r="B1431" s="1" t="s">
        <v>25</v>
      </c>
      <c r="C1431" s="1" t="s">
        <v>1365</v>
      </c>
      <c r="D1431" s="1" t="str">
        <f>Vlookup(C1431,'Oil &amp; Gas Documents - Canada'!F:M,2,FALSE)</f>
        <v>#N/A</v>
      </c>
      <c r="E1431" s="1" t="str">
        <f>Vlookup(C1431,'Oil &amp; Gas Documents - Canada'!F:N,9,FALSE)</f>
        <v>#N/A</v>
      </c>
      <c r="F1431" s="1" t="s">
        <v>1366</v>
      </c>
      <c r="G1431" s="4" t="str">
        <f>HYPERLINK("http://nimonikapp.com/legislations/117886","http://nimonikapp.com/legislations/117886")</f>
        <v>http://nimonikapp.com/legislations/117886</v>
      </c>
      <c r="H1431" s="1" t="s">
        <v>18</v>
      </c>
      <c r="I1431" s="1" t="s">
        <v>4213</v>
      </c>
      <c r="J1431" s="1" t="s">
        <v>4214</v>
      </c>
      <c r="K1431" s="5">
        <v>44607.0</v>
      </c>
      <c r="M1431" s="5">
        <v>44614.0</v>
      </c>
      <c r="N1431" s="1" t="s">
        <v>1369</v>
      </c>
    </row>
    <row r="1432" hidden="1">
      <c r="A1432" s="1" t="s">
        <v>221</v>
      </c>
      <c r="B1432" s="1" t="s">
        <v>25</v>
      </c>
      <c r="C1432" s="1" t="s">
        <v>4215</v>
      </c>
      <c r="D1432" s="1" t="str">
        <f>Vlookup(C1432,'Oil &amp; Gas Documents - Canada'!F:M,2,FALSE)</f>
        <v>#N/A</v>
      </c>
      <c r="E1432" s="1" t="str">
        <f>Vlookup(C1432,'Oil &amp; Gas Documents - Canada'!F:N,9,FALSE)</f>
        <v>#N/A</v>
      </c>
      <c r="F1432" s="1" t="s">
        <v>4216</v>
      </c>
      <c r="G1432" s="4" t="str">
        <f>HYPERLINK("http://nimonikapp.com/legislations/234","http://nimonikapp.com/legislations/234")</f>
        <v>http://nimonikapp.com/legislations/234</v>
      </c>
      <c r="H1432" s="1" t="s">
        <v>18</v>
      </c>
      <c r="I1432" s="1" t="s">
        <v>687</v>
      </c>
      <c r="J1432" s="1" t="s">
        <v>688</v>
      </c>
      <c r="K1432" s="5">
        <v>44607.0</v>
      </c>
      <c r="M1432" s="5">
        <v>44614.0</v>
      </c>
      <c r="N1432" s="1" t="s">
        <v>4217</v>
      </c>
    </row>
    <row r="1433" hidden="1">
      <c r="A1433" s="1" t="s">
        <v>221</v>
      </c>
      <c r="B1433" s="1" t="s">
        <v>25</v>
      </c>
      <c r="C1433" s="1" t="s">
        <v>4218</v>
      </c>
      <c r="D1433" s="1" t="str">
        <f>Vlookup(C1433,'Oil &amp; Gas Documents - Canada'!F:M,2,FALSE)</f>
        <v>#N/A</v>
      </c>
      <c r="E1433" s="1" t="str">
        <f>Vlookup(C1433,'Oil &amp; Gas Documents - Canada'!F:N,9,FALSE)</f>
        <v>#N/A</v>
      </c>
      <c r="F1433" s="1" t="s">
        <v>4219</v>
      </c>
      <c r="G1433" s="4" t="str">
        <f>HYPERLINK("http://nimonikapp.com/legislations/257","http://nimonikapp.com/legislations/257")</f>
        <v>http://nimonikapp.com/legislations/257</v>
      </c>
      <c r="H1433" s="1" t="s">
        <v>18</v>
      </c>
      <c r="I1433" s="1" t="s">
        <v>687</v>
      </c>
      <c r="J1433" s="1" t="s">
        <v>688</v>
      </c>
      <c r="K1433" s="5">
        <v>44607.0</v>
      </c>
      <c r="M1433" s="5">
        <v>44614.0</v>
      </c>
    </row>
    <row r="1434" hidden="1">
      <c r="A1434" s="1" t="s">
        <v>221</v>
      </c>
      <c r="B1434" s="1" t="s">
        <v>25</v>
      </c>
      <c r="C1434" s="1" t="s">
        <v>2472</v>
      </c>
      <c r="D1434" s="1" t="str">
        <f>Vlookup(C1434,'Oil &amp; Gas Documents - Canada'!F:M,2,FALSE)</f>
        <v>#N/A</v>
      </c>
      <c r="E1434" s="1" t="str">
        <f>Vlookup(C1434,'Oil &amp; Gas Documents - Canada'!F:N,9,FALSE)</f>
        <v>#N/A</v>
      </c>
      <c r="F1434" s="1" t="s">
        <v>2473</v>
      </c>
      <c r="G1434" s="4" t="str">
        <f>HYPERLINK("http://nimonikapp.com/legislations/10637","http://nimonikapp.com/legislations/10637")</f>
        <v>http://nimonikapp.com/legislations/10637</v>
      </c>
      <c r="H1434" s="1" t="s">
        <v>18</v>
      </c>
      <c r="I1434" s="1" t="s">
        <v>687</v>
      </c>
      <c r="J1434" s="1" t="s">
        <v>688</v>
      </c>
      <c r="K1434" s="5">
        <v>44607.0</v>
      </c>
      <c r="M1434" s="5">
        <v>44614.0</v>
      </c>
      <c r="N1434" s="1" t="s">
        <v>2476</v>
      </c>
    </row>
    <row r="1435" hidden="1">
      <c r="A1435" s="1" t="s">
        <v>221</v>
      </c>
      <c r="B1435" s="1" t="s">
        <v>25</v>
      </c>
      <c r="C1435" s="1" t="s">
        <v>4220</v>
      </c>
      <c r="D1435" s="1" t="str">
        <f>Vlookup(C1435,'Oil &amp; Gas Documents - Canada'!F:M,2,FALSE)</f>
        <v>#N/A</v>
      </c>
      <c r="E1435" s="1" t="str">
        <f>Vlookup(C1435,'Oil &amp; Gas Documents - Canada'!F:N,9,FALSE)</f>
        <v>#N/A</v>
      </c>
      <c r="F1435" s="1" t="s">
        <v>4000</v>
      </c>
      <c r="G1435" s="4" t="str">
        <f>HYPERLINK("http://nimonikapp.com/legislations/246","http://nimonikapp.com/legislations/246")</f>
        <v>http://nimonikapp.com/legislations/246</v>
      </c>
      <c r="H1435" s="1" t="s">
        <v>18</v>
      </c>
      <c r="I1435" s="1" t="s">
        <v>687</v>
      </c>
      <c r="J1435" s="1" t="s">
        <v>688</v>
      </c>
      <c r="K1435" s="5">
        <v>44607.0</v>
      </c>
      <c r="M1435" s="5">
        <v>44614.0</v>
      </c>
      <c r="N1435" s="1" t="s">
        <v>4217</v>
      </c>
    </row>
    <row r="1436" hidden="1">
      <c r="A1436" s="1" t="s">
        <v>221</v>
      </c>
      <c r="B1436" s="1" t="s">
        <v>25</v>
      </c>
      <c r="C1436" s="1" t="s">
        <v>1374</v>
      </c>
      <c r="D1436" s="1" t="str">
        <f>Vlookup(C1436,'Oil &amp; Gas Documents - Canada'!F:M,2,FALSE)</f>
        <v>#N/A</v>
      </c>
      <c r="E1436" s="1" t="str">
        <f>Vlookup(C1436,'Oil &amp; Gas Documents - Canada'!F:N,9,FALSE)</f>
        <v>#N/A</v>
      </c>
      <c r="F1436" s="1" t="s">
        <v>1375</v>
      </c>
      <c r="G1436" s="4" t="str">
        <f>HYPERLINK("http://nimonikapp.com/legislations/14929","http://nimonikapp.com/legislations/14929")</f>
        <v>http://nimonikapp.com/legislations/14929</v>
      </c>
      <c r="H1436" s="1" t="s">
        <v>18</v>
      </c>
      <c r="I1436" s="1" t="s">
        <v>687</v>
      </c>
      <c r="J1436" s="1" t="s">
        <v>688</v>
      </c>
      <c r="K1436" s="5">
        <v>44607.0</v>
      </c>
      <c r="M1436" s="5">
        <v>44614.0</v>
      </c>
      <c r="N1436" s="1" t="s">
        <v>1378</v>
      </c>
    </row>
    <row r="1437" hidden="1">
      <c r="A1437" s="1" t="s">
        <v>221</v>
      </c>
      <c r="B1437" s="1" t="s">
        <v>25</v>
      </c>
      <c r="C1437" s="1" t="s">
        <v>2747</v>
      </c>
      <c r="D1437" s="1" t="str">
        <f>Vlookup(C1437,'Oil &amp; Gas Documents - Canada'!F:M,2,FALSE)</f>
        <v>#N/A</v>
      </c>
      <c r="E1437" s="1" t="str">
        <f>Vlookup(C1437,'Oil &amp; Gas Documents - Canada'!F:N,9,FALSE)</f>
        <v>#N/A</v>
      </c>
      <c r="F1437" s="1" t="s">
        <v>2748</v>
      </c>
      <c r="G1437" s="4" t="str">
        <f>HYPERLINK("http://nimonikapp.com/legislations/10640","http://nimonikapp.com/legislations/10640")</f>
        <v>http://nimonikapp.com/legislations/10640</v>
      </c>
      <c r="H1437" s="1" t="s">
        <v>18</v>
      </c>
      <c r="I1437" s="1" t="s">
        <v>687</v>
      </c>
      <c r="J1437" s="1" t="s">
        <v>688</v>
      </c>
      <c r="K1437" s="5">
        <v>44607.0</v>
      </c>
      <c r="M1437" s="5">
        <v>44614.0</v>
      </c>
      <c r="N1437" s="1" t="s">
        <v>2751</v>
      </c>
    </row>
    <row r="1438" hidden="1">
      <c r="A1438" s="1" t="s">
        <v>221</v>
      </c>
      <c r="B1438" s="1" t="s">
        <v>25</v>
      </c>
      <c r="C1438" s="1" t="s">
        <v>2754</v>
      </c>
      <c r="D1438" s="1" t="str">
        <f>Vlookup(C1438,'Oil &amp; Gas Documents - Canada'!F:M,2,FALSE)</f>
        <v>#N/A</v>
      </c>
      <c r="E1438" s="1" t="str">
        <f>Vlookup(C1438,'Oil &amp; Gas Documents - Canada'!F:N,9,FALSE)</f>
        <v>#N/A</v>
      </c>
      <c r="F1438" s="1" t="s">
        <v>2755</v>
      </c>
      <c r="G1438" s="4" t="str">
        <f>HYPERLINK("http://nimonikapp.com/legislations/256","http://nimonikapp.com/legislations/256")</f>
        <v>http://nimonikapp.com/legislations/256</v>
      </c>
      <c r="H1438" s="1" t="s">
        <v>18</v>
      </c>
      <c r="I1438" s="1" t="s">
        <v>687</v>
      </c>
      <c r="J1438" s="1" t="s">
        <v>688</v>
      </c>
      <c r="K1438" s="5">
        <v>44607.0</v>
      </c>
      <c r="M1438" s="5">
        <v>44614.0</v>
      </c>
      <c r="N1438" s="1" t="s">
        <v>2758</v>
      </c>
    </row>
    <row r="1439">
      <c r="A1439" s="1" t="s">
        <v>221</v>
      </c>
      <c r="B1439" s="1" t="s">
        <v>25</v>
      </c>
      <c r="C1439" s="1" t="s">
        <v>686</v>
      </c>
      <c r="D1439" s="1" t="str">
        <f>Vlookup(C1439,'Oil &amp; Gas Documents - Canada'!F:M,2,FALSE)</f>
        <v>oil_and_gas</v>
      </c>
      <c r="E1439" s="1" t="str">
        <f>Vlookup(C1439,'Oil &amp; Gas Documents - Canada'!F:N,9,FALSE)</f>
        <v/>
      </c>
      <c r="F1439" s="1" t="s">
        <v>685</v>
      </c>
      <c r="G1439" s="4" t="str">
        <f>HYPERLINK("http://nimonikapp.com/legislations/116981","http://nimonikapp.com/legislations/116981")</f>
        <v>http://nimonikapp.com/legislations/116981</v>
      </c>
      <c r="H1439" s="1" t="s">
        <v>18</v>
      </c>
      <c r="I1439" s="1" t="s">
        <v>687</v>
      </c>
      <c r="J1439" s="1" t="s">
        <v>688</v>
      </c>
      <c r="K1439" s="5">
        <v>44607.0</v>
      </c>
      <c r="M1439" s="5">
        <v>44614.0</v>
      </c>
    </row>
    <row r="1440" hidden="1">
      <c r="A1440" s="1" t="s">
        <v>221</v>
      </c>
      <c r="B1440" s="1" t="s">
        <v>25</v>
      </c>
      <c r="C1440" s="1" t="s">
        <v>2762</v>
      </c>
      <c r="D1440" s="1" t="str">
        <f>Vlookup(C1440,'Oil &amp; Gas Documents - Canada'!F:M,2,FALSE)</f>
        <v>#N/A</v>
      </c>
      <c r="E1440" s="1" t="str">
        <f>Vlookup(C1440,'Oil &amp; Gas Documents - Canada'!F:N,9,FALSE)</f>
        <v>#N/A</v>
      </c>
      <c r="F1440" s="1" t="s">
        <v>2763</v>
      </c>
      <c r="G1440" s="4" t="str">
        <f>HYPERLINK("http://nimonikapp.com/legislations/110760","http://nimonikapp.com/legislations/110760")</f>
        <v>http://nimonikapp.com/legislations/110760</v>
      </c>
      <c r="H1440" s="1" t="s">
        <v>18</v>
      </c>
      <c r="I1440" s="1" t="s">
        <v>687</v>
      </c>
      <c r="J1440" s="1" t="s">
        <v>688</v>
      </c>
      <c r="K1440" s="5">
        <v>44607.0</v>
      </c>
      <c r="M1440" s="5">
        <v>44614.0</v>
      </c>
      <c r="N1440" s="1" t="s">
        <v>2766</v>
      </c>
    </row>
    <row r="1441" hidden="1">
      <c r="A1441" s="1" t="s">
        <v>221</v>
      </c>
      <c r="B1441" s="1" t="s">
        <v>25</v>
      </c>
      <c r="C1441" s="1" t="s">
        <v>4221</v>
      </c>
      <c r="D1441" s="1" t="str">
        <f>Vlookup(C1441,'Oil &amp; Gas Documents - Canada'!F:M,2,FALSE)</f>
        <v>#N/A</v>
      </c>
      <c r="E1441" s="1" t="str">
        <f>Vlookup(C1441,'Oil &amp; Gas Documents - Canada'!F:N,9,FALSE)</f>
        <v>#N/A</v>
      </c>
      <c r="F1441" s="1" t="s">
        <v>4222</v>
      </c>
      <c r="G1441" s="4" t="str">
        <f>HYPERLINK("http://nimonikapp.com/legislations/10611","http://nimonikapp.com/legislations/10611")</f>
        <v>http://nimonikapp.com/legislations/10611</v>
      </c>
      <c r="H1441" s="1" t="s">
        <v>18</v>
      </c>
      <c r="I1441" s="1" t="s">
        <v>687</v>
      </c>
      <c r="J1441" s="1" t="s">
        <v>688</v>
      </c>
      <c r="K1441" s="5">
        <v>44607.0</v>
      </c>
      <c r="M1441" s="5">
        <v>44614.0</v>
      </c>
      <c r="N1441" s="1" t="s">
        <v>4217</v>
      </c>
    </row>
    <row r="1442" hidden="1">
      <c r="A1442" s="1" t="s">
        <v>221</v>
      </c>
      <c r="B1442" s="1" t="s">
        <v>25</v>
      </c>
      <c r="C1442" s="1" t="s">
        <v>2759</v>
      </c>
      <c r="D1442" s="1" t="str">
        <f>Vlookup(C1442,'Oil &amp; Gas Documents - Canada'!F:M,2,FALSE)</f>
        <v>#N/A</v>
      </c>
      <c r="E1442" s="1" t="str">
        <f>Vlookup(C1442,'Oil &amp; Gas Documents - Canada'!F:N,9,FALSE)</f>
        <v>#N/A</v>
      </c>
      <c r="F1442" s="1" t="s">
        <v>2760</v>
      </c>
      <c r="G1442" s="4" t="str">
        <f>HYPERLINK("http://nimonikapp.com/legislations/239","http://nimonikapp.com/legislations/239")</f>
        <v>http://nimonikapp.com/legislations/239</v>
      </c>
      <c r="H1442" s="1" t="s">
        <v>18</v>
      </c>
      <c r="I1442" s="1" t="s">
        <v>687</v>
      </c>
      <c r="J1442" s="1" t="s">
        <v>688</v>
      </c>
      <c r="K1442" s="5">
        <v>44607.0</v>
      </c>
      <c r="M1442" s="5">
        <v>44614.0</v>
      </c>
      <c r="N1442" s="1" t="s">
        <v>2761</v>
      </c>
    </row>
    <row r="1443" hidden="1">
      <c r="A1443" s="1" t="s">
        <v>221</v>
      </c>
      <c r="B1443" s="1" t="s">
        <v>25</v>
      </c>
      <c r="C1443" s="1" t="s">
        <v>783</v>
      </c>
      <c r="D1443" s="1" t="str">
        <f>Vlookup(C1443,'Oil &amp; Gas Documents - Canada'!F:M,2,FALSE)</f>
        <v>#N/A</v>
      </c>
      <c r="E1443" s="1" t="str">
        <f>Vlookup(C1443,'Oil &amp; Gas Documents - Canada'!F:N,9,FALSE)</f>
        <v>#N/A</v>
      </c>
      <c r="F1443" s="1" t="s">
        <v>784</v>
      </c>
      <c r="G1443" s="4" t="str">
        <f>HYPERLINK("http://nimonikapp.com/legislations/293423","http://nimonikapp.com/legislations/293423")</f>
        <v>http://nimonikapp.com/legislations/293423</v>
      </c>
      <c r="H1443" s="1" t="s">
        <v>18</v>
      </c>
      <c r="I1443" s="1" t="s">
        <v>687</v>
      </c>
      <c r="J1443" s="1" t="s">
        <v>688</v>
      </c>
      <c r="K1443" s="5">
        <v>44607.0</v>
      </c>
      <c r="M1443" s="5">
        <v>44614.0</v>
      </c>
      <c r="N1443" s="1" t="s">
        <v>4223</v>
      </c>
    </row>
    <row r="1444" hidden="1">
      <c r="A1444" s="1" t="s">
        <v>73</v>
      </c>
      <c r="B1444" s="1" t="s">
        <v>15</v>
      </c>
      <c r="C1444" s="1" t="s">
        <v>4224</v>
      </c>
      <c r="D1444" s="1" t="str">
        <f>Vlookup(C1444,'Oil &amp; Gas Documents - Canada'!F:M,2,FALSE)</f>
        <v>#N/A</v>
      </c>
      <c r="E1444" s="1" t="str">
        <f>Vlookup(C1444,'Oil &amp; Gas Documents - Canada'!F:N,9,FALSE)</f>
        <v>#N/A</v>
      </c>
      <c r="F1444" s="1" t="s">
        <v>4225</v>
      </c>
      <c r="G1444" s="4" t="str">
        <f>HYPERLINK("http://nimonikapp.com/legislations/326697","http://nimonikapp.com/legislations/326697")</f>
        <v>http://nimonikapp.com/legislations/326697</v>
      </c>
      <c r="H1444" s="1" t="s">
        <v>18</v>
      </c>
      <c r="K1444" s="5">
        <v>44611.0</v>
      </c>
      <c r="L1444" s="5">
        <v>44701.0</v>
      </c>
      <c r="M1444" s="5">
        <v>44613.0</v>
      </c>
    </row>
    <row r="1445" hidden="1">
      <c r="A1445" s="1" t="s">
        <v>73</v>
      </c>
      <c r="B1445" s="1" t="s">
        <v>15</v>
      </c>
      <c r="C1445" s="1" t="s">
        <v>4226</v>
      </c>
      <c r="D1445" s="1" t="str">
        <f>Vlookup(C1445,'Oil &amp; Gas Documents - Canada'!F:M,2,FALSE)</f>
        <v>#N/A</v>
      </c>
      <c r="E1445" s="1" t="str">
        <f>Vlookup(C1445,'Oil &amp; Gas Documents - Canada'!F:N,9,FALSE)</f>
        <v>#N/A</v>
      </c>
      <c r="F1445" s="1" t="s">
        <v>4227</v>
      </c>
      <c r="G1445" s="4" t="str">
        <f>HYPERLINK("http://nimonikapp.com/legislations/326685","http://nimonikapp.com/legislations/326685")</f>
        <v>http://nimonikapp.com/legislations/326685</v>
      </c>
      <c r="H1445" s="1" t="s">
        <v>516</v>
      </c>
      <c r="K1445" s="5">
        <v>44611.0</v>
      </c>
      <c r="M1445" s="5">
        <v>44613.0</v>
      </c>
    </row>
    <row r="1446" hidden="1">
      <c r="A1446" s="1" t="s">
        <v>24</v>
      </c>
      <c r="B1446" s="1" t="s">
        <v>25</v>
      </c>
      <c r="C1446" s="1" t="s">
        <v>815</v>
      </c>
      <c r="D1446" s="1" t="str">
        <f>Vlookup(C1446,'Oil &amp; Gas Documents - Canada'!F:M,2,FALSE)</f>
        <v>#N/A</v>
      </c>
      <c r="E1446" s="1" t="str">
        <f>Vlookup(C1446,'Oil &amp; Gas Documents - Canada'!F:N,9,FALSE)</f>
        <v>#N/A</v>
      </c>
      <c r="F1446" s="1" t="s">
        <v>816</v>
      </c>
      <c r="G1446" s="4" t="str">
        <f>HYPERLINK("http://nimonikapp.com/legislations/101","http://nimonikapp.com/legislations/101")</f>
        <v>http://nimonikapp.com/legislations/101</v>
      </c>
      <c r="H1446" s="1" t="s">
        <v>18</v>
      </c>
      <c r="I1446" s="1" t="s">
        <v>4228</v>
      </c>
      <c r="J1446" s="1" t="s">
        <v>4229</v>
      </c>
      <c r="K1446" s="5">
        <v>44607.0</v>
      </c>
      <c r="L1446" s="5">
        <v>44606.0</v>
      </c>
      <c r="M1446" s="5">
        <v>44613.0</v>
      </c>
      <c r="N1446" s="1" t="s">
        <v>819</v>
      </c>
    </row>
    <row r="1447" hidden="1">
      <c r="A1447" s="1" t="s">
        <v>24</v>
      </c>
      <c r="B1447" s="1" t="s">
        <v>25</v>
      </c>
      <c r="C1447" s="1" t="s">
        <v>4230</v>
      </c>
      <c r="D1447" s="1" t="str">
        <f>Vlookup(C1447,'Oil &amp; Gas Documents - Canada'!F:M,2,FALSE)</f>
        <v>#N/A</v>
      </c>
      <c r="E1447" s="1" t="str">
        <f>Vlookup(C1447,'Oil &amp; Gas Documents - Canada'!F:N,9,FALSE)</f>
        <v>#N/A</v>
      </c>
      <c r="F1447" s="1" t="s">
        <v>4231</v>
      </c>
      <c r="G1447" s="4" t="str">
        <f>HYPERLINK("http://nimonikapp.com/legislations/14336","http://nimonikapp.com/legislations/14336")</f>
        <v>http://nimonikapp.com/legislations/14336</v>
      </c>
      <c r="H1447" s="1" t="s">
        <v>18</v>
      </c>
      <c r="I1447" s="1" t="s">
        <v>4232</v>
      </c>
      <c r="J1447" s="1" t="s">
        <v>4233</v>
      </c>
      <c r="K1447" s="5">
        <v>44607.0</v>
      </c>
      <c r="L1447" s="5">
        <v>44601.0</v>
      </c>
      <c r="M1447" s="5">
        <v>44613.0</v>
      </c>
    </row>
    <row r="1448" hidden="1">
      <c r="A1448" s="1" t="s">
        <v>202</v>
      </c>
      <c r="B1448" s="1" t="s">
        <v>25</v>
      </c>
      <c r="C1448" s="1" t="s">
        <v>1659</v>
      </c>
      <c r="D1448" s="1" t="str">
        <f>Vlookup(C1448,'Oil &amp; Gas Documents - Canada'!F:M,2,FALSE)</f>
        <v>#N/A</v>
      </c>
      <c r="E1448" s="1" t="str">
        <f>Vlookup(C1448,'Oil &amp; Gas Documents - Canada'!F:N,9,FALSE)</f>
        <v>#N/A</v>
      </c>
      <c r="F1448" s="1" t="s">
        <v>1660</v>
      </c>
      <c r="G1448" s="4" t="str">
        <f>HYPERLINK("http://nimonikapp.com/legislations/268529","http://nimonikapp.com/legislations/268529")</f>
        <v>http://nimonikapp.com/legislations/268529</v>
      </c>
      <c r="H1448" s="1" t="s">
        <v>18</v>
      </c>
      <c r="I1448" s="1" t="s">
        <v>4234</v>
      </c>
      <c r="J1448" s="1" t="s">
        <v>4235</v>
      </c>
      <c r="K1448" s="5">
        <v>44614.0</v>
      </c>
      <c r="L1448" s="5">
        <v>44454.0</v>
      </c>
      <c r="M1448" s="5">
        <v>44613.0</v>
      </c>
      <c r="N1448" s="1" t="s">
        <v>1661</v>
      </c>
    </row>
    <row r="1449" hidden="1">
      <c r="A1449" s="1" t="s">
        <v>202</v>
      </c>
      <c r="B1449" s="1" t="s">
        <v>25</v>
      </c>
      <c r="C1449" s="1" t="s">
        <v>4236</v>
      </c>
      <c r="D1449" s="1" t="str">
        <f>Vlookup(C1449,'Oil &amp; Gas Documents - Canada'!F:M,2,FALSE)</f>
        <v>#N/A</v>
      </c>
      <c r="E1449" s="1" t="str">
        <f>Vlookup(C1449,'Oil &amp; Gas Documents - Canada'!F:N,9,FALSE)</f>
        <v>#N/A</v>
      </c>
      <c r="F1449" s="1" t="s">
        <v>4237</v>
      </c>
      <c r="G1449" s="4" t="str">
        <f>HYPERLINK("http://nimonikapp.com/legislations/927","http://nimonikapp.com/legislations/927")</f>
        <v>http://nimonikapp.com/legislations/927</v>
      </c>
      <c r="H1449" s="1" t="s">
        <v>18</v>
      </c>
      <c r="I1449" s="1" t="s">
        <v>4234</v>
      </c>
      <c r="J1449" s="1" t="s">
        <v>4235</v>
      </c>
      <c r="K1449" s="5">
        <v>44614.0</v>
      </c>
      <c r="L1449" s="5">
        <v>44454.0</v>
      </c>
      <c r="M1449" s="5">
        <v>44613.0</v>
      </c>
    </row>
    <row r="1450" hidden="1">
      <c r="A1450" s="1" t="s">
        <v>73</v>
      </c>
      <c r="B1450" s="1" t="s">
        <v>352</v>
      </c>
      <c r="C1450" s="1" t="s">
        <v>4238</v>
      </c>
      <c r="D1450" s="1" t="str">
        <f>Vlookup(C1450,'Oil &amp; Gas Documents - Canada'!F:M,2,FALSE)</f>
        <v>#N/A</v>
      </c>
      <c r="E1450" s="1" t="str">
        <f>Vlookup(C1450,'Oil &amp; Gas Documents - Canada'!F:N,9,FALSE)</f>
        <v>#N/A</v>
      </c>
      <c r="F1450" s="1" t="s">
        <v>4239</v>
      </c>
      <c r="G1450" s="4" t="str">
        <f>HYPERLINK("http://nimonikapp.com/legislations/162566","http://nimonikapp.com/legislations/162566")</f>
        <v>http://nimonikapp.com/legislations/162566</v>
      </c>
      <c r="H1450" s="1" t="s">
        <v>356</v>
      </c>
      <c r="I1450" s="1" t="s">
        <v>4240</v>
      </c>
      <c r="J1450" s="1" t="s">
        <v>4241</v>
      </c>
      <c r="K1450" s="5">
        <v>44582.0</v>
      </c>
      <c r="L1450" s="5">
        <v>44582.0</v>
      </c>
      <c r="M1450" s="5">
        <v>44610.0</v>
      </c>
      <c r="N1450" s="1" t="s">
        <v>4242</v>
      </c>
    </row>
    <row r="1451" hidden="1">
      <c r="A1451" s="1" t="s">
        <v>73</v>
      </c>
      <c r="B1451" s="1" t="s">
        <v>25</v>
      </c>
      <c r="C1451" s="1" t="s">
        <v>4243</v>
      </c>
      <c r="D1451" s="1" t="str">
        <f>Vlookup(C1451,'Oil &amp; Gas Documents - Canada'!F:M,2,FALSE)</f>
        <v>#N/A</v>
      </c>
      <c r="E1451" s="1" t="str">
        <f>Vlookup(C1451,'Oil &amp; Gas Documents - Canada'!F:N,9,FALSE)</f>
        <v>#N/A</v>
      </c>
      <c r="F1451" s="1" t="s">
        <v>4244</v>
      </c>
      <c r="G1451" s="4" t="str">
        <f>HYPERLINK("http://nimonikapp.com/legislations/162546","http://nimonikapp.com/legislations/162546")</f>
        <v>http://nimonikapp.com/legislations/162546</v>
      </c>
      <c r="H1451" s="1" t="s">
        <v>18</v>
      </c>
      <c r="I1451" s="1" t="s">
        <v>4240</v>
      </c>
      <c r="J1451" s="1" t="s">
        <v>4241</v>
      </c>
      <c r="K1451" s="5">
        <v>44582.0</v>
      </c>
      <c r="L1451" s="5">
        <v>44582.0</v>
      </c>
      <c r="M1451" s="5">
        <v>44610.0</v>
      </c>
      <c r="N1451" s="1" t="s">
        <v>4245</v>
      </c>
    </row>
    <row r="1452" hidden="1">
      <c r="A1452" s="1" t="s">
        <v>202</v>
      </c>
      <c r="B1452" s="1" t="s">
        <v>25</v>
      </c>
      <c r="C1452" s="1" t="s">
        <v>4089</v>
      </c>
      <c r="D1452" s="1" t="str">
        <f>Vlookup(C1452,'Oil &amp; Gas Documents - Canada'!F:M,2,FALSE)</f>
        <v>#N/A</v>
      </c>
      <c r="E1452" s="1" t="str">
        <f>Vlookup(C1452,'Oil &amp; Gas Documents - Canada'!F:N,9,FALSE)</f>
        <v>#N/A</v>
      </c>
      <c r="F1452" s="1" t="s">
        <v>1410</v>
      </c>
      <c r="G1452" s="4" t="str">
        <f>HYPERLINK("http://nimonikapp.com/legislations/297642","http://nimonikapp.com/legislations/297642")</f>
        <v>http://nimonikapp.com/legislations/297642</v>
      </c>
      <c r="H1452" s="1" t="s">
        <v>18</v>
      </c>
      <c r="I1452" s="1" t="s">
        <v>4246</v>
      </c>
      <c r="J1452" s="1" t="s">
        <v>1410</v>
      </c>
      <c r="K1452" s="5">
        <v>44609.0</v>
      </c>
      <c r="L1452" s="5">
        <v>44606.0</v>
      </c>
      <c r="M1452" s="5">
        <v>44609.0</v>
      </c>
      <c r="N1452" s="1" t="s">
        <v>4091</v>
      </c>
    </row>
    <row r="1453" hidden="1">
      <c r="A1453" s="1" t="s">
        <v>73</v>
      </c>
      <c r="B1453" s="1" t="s">
        <v>15</v>
      </c>
      <c r="C1453" s="1" t="s">
        <v>4247</v>
      </c>
      <c r="D1453" s="1" t="str">
        <f>Vlookup(C1453,'Oil &amp; Gas Documents - Canada'!F:M,2,FALSE)</f>
        <v>#N/A</v>
      </c>
      <c r="E1453" s="1" t="str">
        <f>Vlookup(C1453,'Oil &amp; Gas Documents - Canada'!F:N,9,FALSE)</f>
        <v>#N/A</v>
      </c>
      <c r="F1453" s="1" t="s">
        <v>4248</v>
      </c>
      <c r="G1453" s="4" t="str">
        <f>HYPERLINK("http://nimonikapp.com/legislations/325522","http://nimonikapp.com/legislations/325522")</f>
        <v>http://nimonikapp.com/legislations/325522</v>
      </c>
      <c r="H1453" s="1" t="s">
        <v>18</v>
      </c>
      <c r="K1453" s="5">
        <v>44607.0</v>
      </c>
      <c r="L1453" s="5">
        <v>44607.0</v>
      </c>
      <c r="M1453" s="5">
        <v>44608.0</v>
      </c>
    </row>
    <row r="1454" hidden="1">
      <c r="A1454" s="1" t="s">
        <v>73</v>
      </c>
      <c r="B1454" s="1" t="s">
        <v>15</v>
      </c>
      <c r="C1454" s="1" t="s">
        <v>4249</v>
      </c>
      <c r="D1454" s="1" t="str">
        <f>Vlookup(C1454,'Oil &amp; Gas Documents - Canada'!F:M,2,FALSE)</f>
        <v>#N/A</v>
      </c>
      <c r="E1454" s="1" t="str">
        <f>Vlookup(C1454,'Oil &amp; Gas Documents - Canada'!F:N,9,FALSE)</f>
        <v>#N/A</v>
      </c>
      <c r="F1454" s="1" t="s">
        <v>4250</v>
      </c>
      <c r="G1454" s="4" t="str">
        <f>HYPERLINK("http://nimonikapp.com/legislations/325520","http://nimonikapp.com/legislations/325520")</f>
        <v>http://nimonikapp.com/legislations/325520</v>
      </c>
      <c r="H1454" s="1" t="s">
        <v>18</v>
      </c>
      <c r="K1454" s="5">
        <v>44607.0</v>
      </c>
      <c r="L1454" s="5">
        <v>44607.0</v>
      </c>
      <c r="M1454" s="5">
        <v>44608.0</v>
      </c>
    </row>
    <row r="1455">
      <c r="A1455" s="1" t="s">
        <v>202</v>
      </c>
      <c r="B1455" s="1" t="s">
        <v>25</v>
      </c>
      <c r="C1455" s="1" t="s">
        <v>504</v>
      </c>
      <c r="D1455" s="1" t="s">
        <v>26</v>
      </c>
      <c r="E1455" s="1" t="str">
        <f>Vlookup(C1455,'Oil &amp; Gas Documents - Canada'!F:N,9,FALSE)</f>
        <v>#N/A</v>
      </c>
      <c r="F1455" s="1" t="s">
        <v>503</v>
      </c>
      <c r="G1455" s="4" t="str">
        <f>HYPERLINK("http://nimonikapp.com/legislations/47","http://nimonikapp.com/legislations/47")</f>
        <v>http://nimonikapp.com/legislations/47</v>
      </c>
      <c r="H1455" s="1" t="s">
        <v>18</v>
      </c>
      <c r="I1455" s="1" t="s">
        <v>689</v>
      </c>
      <c r="J1455" s="1" t="s">
        <v>690</v>
      </c>
      <c r="K1455" s="5">
        <v>44616.0</v>
      </c>
      <c r="L1455" s="5">
        <v>43647.0</v>
      </c>
      <c r="M1455" s="5">
        <v>44608.0</v>
      </c>
      <c r="N1455" s="1" t="s">
        <v>505</v>
      </c>
    </row>
    <row r="1456" hidden="1">
      <c r="A1456" s="1" t="s">
        <v>202</v>
      </c>
      <c r="B1456" s="1" t="s">
        <v>25</v>
      </c>
      <c r="C1456" s="1" t="s">
        <v>1672</v>
      </c>
      <c r="D1456" s="1" t="str">
        <f>Vlookup(C1456,'Oil &amp; Gas Documents - Canada'!F:M,2,FALSE)</f>
        <v>#N/A</v>
      </c>
      <c r="E1456" s="1" t="str">
        <f>Vlookup(C1456,'Oil &amp; Gas Documents - Canada'!F:N,9,FALSE)</f>
        <v>#N/A</v>
      </c>
      <c r="F1456" s="1" t="s">
        <v>1673</v>
      </c>
      <c r="G1456" s="4" t="str">
        <f>HYPERLINK("http://nimonikapp.com/legislations/2","http://nimonikapp.com/legislations/2")</f>
        <v>http://nimonikapp.com/legislations/2</v>
      </c>
      <c r="H1456" s="1" t="s">
        <v>18</v>
      </c>
      <c r="I1456" s="1" t="s">
        <v>689</v>
      </c>
      <c r="J1456" s="1" t="s">
        <v>690</v>
      </c>
      <c r="K1456" s="5">
        <v>44616.0</v>
      </c>
      <c r="L1456" s="5">
        <v>43647.0</v>
      </c>
      <c r="M1456" s="5">
        <v>44608.0</v>
      </c>
      <c r="N1456" s="1" t="s">
        <v>1676</v>
      </c>
    </row>
    <row r="1457" hidden="1">
      <c r="A1457" s="1" t="s">
        <v>202</v>
      </c>
      <c r="B1457" s="1" t="s">
        <v>25</v>
      </c>
      <c r="C1457" s="1" t="s">
        <v>4251</v>
      </c>
      <c r="D1457" s="1" t="str">
        <f>Vlookup(C1457,'Oil &amp; Gas Documents - Canada'!F:M,2,FALSE)</f>
        <v>#N/A</v>
      </c>
      <c r="E1457" s="1" t="str">
        <f>Vlookup(C1457,'Oil &amp; Gas Documents - Canada'!F:N,9,FALSE)</f>
        <v>#N/A</v>
      </c>
      <c r="F1457" s="1" t="s">
        <v>4252</v>
      </c>
      <c r="G1457" s="4" t="str">
        <f>HYPERLINK("http://nimonikapp.com/legislations/113","http://nimonikapp.com/legislations/113")</f>
        <v>http://nimonikapp.com/legislations/113</v>
      </c>
      <c r="H1457" s="1" t="s">
        <v>18</v>
      </c>
      <c r="I1457" s="1" t="s">
        <v>689</v>
      </c>
      <c r="J1457" s="1" t="s">
        <v>690</v>
      </c>
      <c r="K1457" s="5">
        <v>44616.0</v>
      </c>
      <c r="L1457" s="5">
        <v>43647.0</v>
      </c>
      <c r="M1457" s="5">
        <v>44608.0</v>
      </c>
      <c r="N1457" s="1" t="s">
        <v>4253</v>
      </c>
    </row>
    <row r="1458" hidden="1">
      <c r="A1458" s="1" t="s">
        <v>202</v>
      </c>
      <c r="B1458" s="1" t="s">
        <v>25</v>
      </c>
      <c r="C1458" s="1" t="s">
        <v>4254</v>
      </c>
      <c r="D1458" s="1" t="str">
        <f>Vlookup(C1458,'Oil &amp; Gas Documents - Canada'!F:M,2,FALSE)</f>
        <v>#N/A</v>
      </c>
      <c r="E1458" s="1" t="str">
        <f>Vlookup(C1458,'Oil &amp; Gas Documents - Canada'!F:N,9,FALSE)</f>
        <v>#N/A</v>
      </c>
      <c r="F1458" s="1" t="s">
        <v>4255</v>
      </c>
      <c r="G1458" s="4" t="str">
        <f>HYPERLINK("http://nimonikapp.com/legislations/116","http://nimonikapp.com/legislations/116")</f>
        <v>http://nimonikapp.com/legislations/116</v>
      </c>
      <c r="H1458" s="1" t="s">
        <v>18</v>
      </c>
      <c r="I1458" s="1" t="s">
        <v>689</v>
      </c>
      <c r="J1458" s="1" t="s">
        <v>690</v>
      </c>
      <c r="K1458" s="5">
        <v>44616.0</v>
      </c>
      <c r="L1458" s="5">
        <v>43647.0</v>
      </c>
      <c r="M1458" s="5">
        <v>44608.0</v>
      </c>
      <c r="N1458" s="1" t="s">
        <v>4256</v>
      </c>
    </row>
    <row r="1459" hidden="1">
      <c r="A1459" s="1" t="s">
        <v>73</v>
      </c>
      <c r="B1459" s="1" t="s">
        <v>25</v>
      </c>
      <c r="C1459" s="1" t="s">
        <v>1069</v>
      </c>
      <c r="D1459" s="1" t="str">
        <f>Vlookup(C1459,'Oil &amp; Gas Documents - Canada'!F:M,2,FALSE)</f>
        <v>#N/A</v>
      </c>
      <c r="E1459" s="1" t="str">
        <f>Vlookup(C1459,'Oil &amp; Gas Documents - Canada'!F:N,9,FALSE)</f>
        <v>#N/A</v>
      </c>
      <c r="F1459" s="1" t="s">
        <v>1070</v>
      </c>
      <c r="G1459" s="4" t="str">
        <f>HYPERLINK("http://nimonikapp.com/legislations/897","http://nimonikapp.com/legislations/897")</f>
        <v>http://nimonikapp.com/legislations/897</v>
      </c>
      <c r="H1459" s="1" t="s">
        <v>18</v>
      </c>
      <c r="I1459" s="1" t="s">
        <v>4257</v>
      </c>
      <c r="J1459" s="1" t="s">
        <v>4258</v>
      </c>
      <c r="K1459" s="5">
        <v>44604.0</v>
      </c>
      <c r="L1459" s="5">
        <v>44594.0</v>
      </c>
      <c r="M1459" s="5">
        <v>44608.0</v>
      </c>
      <c r="N1459" s="1" t="s">
        <v>1073</v>
      </c>
    </row>
    <row r="1460" hidden="1">
      <c r="A1460" s="1" t="s">
        <v>21</v>
      </c>
      <c r="B1460" s="1" t="s">
        <v>25</v>
      </c>
      <c r="C1460" s="1" t="s">
        <v>1299</v>
      </c>
      <c r="D1460" s="1" t="str">
        <f>Vlookup(C1460,'Oil &amp; Gas Documents - Canada'!F:M,2,FALSE)</f>
        <v>#N/A</v>
      </c>
      <c r="E1460" s="1" t="str">
        <f>Vlookup(C1460,'Oil &amp; Gas Documents - Canada'!F:N,9,FALSE)</f>
        <v>#N/A</v>
      </c>
      <c r="F1460" s="1" t="s">
        <v>1300</v>
      </c>
      <c r="G1460" s="4" t="str">
        <f>HYPERLINK("http://nimonikapp.com/legislations/4027","http://nimonikapp.com/legislations/4027")</f>
        <v>http://nimonikapp.com/legislations/4027</v>
      </c>
      <c r="H1460" s="1" t="s">
        <v>18</v>
      </c>
      <c r="I1460" s="1" t="s">
        <v>4259</v>
      </c>
      <c r="J1460" s="1" t="s">
        <v>4260</v>
      </c>
      <c r="K1460" s="5">
        <v>44607.0</v>
      </c>
      <c r="L1460" s="5">
        <v>44592.0</v>
      </c>
      <c r="M1460" s="5">
        <v>44608.0</v>
      </c>
      <c r="N1460" s="1" t="s">
        <v>1301</v>
      </c>
    </row>
    <row r="1461" hidden="1">
      <c r="A1461" s="1" t="s">
        <v>21</v>
      </c>
      <c r="B1461" s="1" t="s">
        <v>25</v>
      </c>
      <c r="C1461" s="1" t="s">
        <v>1859</v>
      </c>
      <c r="D1461" s="1" t="str">
        <f>Vlookup(C1461,'Oil &amp; Gas Documents - Canada'!F:M,2,FALSE)</f>
        <v>#N/A</v>
      </c>
      <c r="E1461" s="1" t="str">
        <f>Vlookup(C1461,'Oil &amp; Gas Documents - Canada'!F:N,9,FALSE)</f>
        <v>#N/A</v>
      </c>
      <c r="F1461" s="1" t="s">
        <v>1860</v>
      </c>
      <c r="G1461" s="4" t="str">
        <f>HYPERLINK("http://nimonikapp.com/legislations/286993","http://nimonikapp.com/legislations/286993")</f>
        <v>http://nimonikapp.com/legislations/286993</v>
      </c>
      <c r="H1461" s="1" t="s">
        <v>18</v>
      </c>
      <c r="I1461" s="1" t="s">
        <v>4261</v>
      </c>
      <c r="J1461" s="1" t="s">
        <v>4262</v>
      </c>
      <c r="K1461" s="5">
        <v>44607.0</v>
      </c>
      <c r="L1461" s="5">
        <v>44592.0</v>
      </c>
      <c r="M1461" s="5">
        <v>44608.0</v>
      </c>
      <c r="N1461" s="1" t="s">
        <v>1863</v>
      </c>
    </row>
    <row r="1462" hidden="1">
      <c r="A1462" s="1" t="s">
        <v>21</v>
      </c>
      <c r="B1462" s="1" t="s">
        <v>25</v>
      </c>
      <c r="C1462" s="1" t="s">
        <v>1974</v>
      </c>
      <c r="D1462" s="1" t="str">
        <f>Vlookup(C1462,'Oil &amp; Gas Documents - Canada'!F:M,2,FALSE)</f>
        <v>#N/A</v>
      </c>
      <c r="E1462" s="1" t="str">
        <f>Vlookup(C1462,'Oil &amp; Gas Documents - Canada'!F:N,9,FALSE)</f>
        <v>#N/A</v>
      </c>
      <c r="F1462" s="1" t="s">
        <v>1975</v>
      </c>
      <c r="G1462" s="4" t="str">
        <f>HYPERLINK("http://nimonikapp.com/legislations/94420","http://nimonikapp.com/legislations/94420")</f>
        <v>http://nimonikapp.com/legislations/94420</v>
      </c>
      <c r="H1462" s="1" t="s">
        <v>18</v>
      </c>
      <c r="I1462" s="1" t="s">
        <v>4263</v>
      </c>
      <c r="J1462" s="1" t="s">
        <v>4264</v>
      </c>
      <c r="K1462" s="5">
        <v>44607.0</v>
      </c>
      <c r="L1462" s="5">
        <v>44592.0</v>
      </c>
      <c r="M1462" s="5">
        <v>44608.0</v>
      </c>
      <c r="N1462" s="1" t="s">
        <v>1978</v>
      </c>
    </row>
    <row r="1463" hidden="1">
      <c r="A1463" s="1" t="s">
        <v>21</v>
      </c>
      <c r="B1463" s="1" t="s">
        <v>25</v>
      </c>
      <c r="C1463" s="1" t="s">
        <v>1294</v>
      </c>
      <c r="D1463" s="1" t="str">
        <f>Vlookup(C1463,'Oil &amp; Gas Documents - Canada'!F:M,2,FALSE)</f>
        <v>#N/A</v>
      </c>
      <c r="E1463" s="1" t="str">
        <f>Vlookup(C1463,'Oil &amp; Gas Documents - Canada'!F:N,9,FALSE)</f>
        <v>#N/A</v>
      </c>
      <c r="F1463" s="1" t="s">
        <v>1295</v>
      </c>
      <c r="G1463" s="4" t="str">
        <f>HYPERLINK("http://nimonikapp.com/legislations/6409","http://nimonikapp.com/legislations/6409")</f>
        <v>http://nimonikapp.com/legislations/6409</v>
      </c>
      <c r="H1463" s="1" t="s">
        <v>18</v>
      </c>
      <c r="I1463" s="1" t="s">
        <v>4263</v>
      </c>
      <c r="J1463" s="1" t="s">
        <v>4264</v>
      </c>
      <c r="K1463" s="5">
        <v>44607.0</v>
      </c>
      <c r="L1463" s="5">
        <v>44592.0</v>
      </c>
      <c r="M1463" s="5">
        <v>44608.0</v>
      </c>
    </row>
    <row r="1464" hidden="1">
      <c r="A1464" s="1" t="s">
        <v>21</v>
      </c>
      <c r="B1464" s="1" t="s">
        <v>25</v>
      </c>
      <c r="C1464" s="1" t="s">
        <v>2988</v>
      </c>
      <c r="D1464" s="1" t="str">
        <f>Vlookup(C1464,'Oil &amp; Gas Documents - Canada'!F:M,2,FALSE)</f>
        <v>#N/A</v>
      </c>
      <c r="E1464" s="1" t="str">
        <f>Vlookup(C1464,'Oil &amp; Gas Documents - Canada'!F:N,9,FALSE)</f>
        <v>#N/A</v>
      </c>
      <c r="F1464" s="1" t="s">
        <v>2989</v>
      </c>
      <c r="G1464" s="4" t="str">
        <f>HYPERLINK("http://nimonikapp.com/legislations/118357","http://nimonikapp.com/legislations/118357")</f>
        <v>http://nimonikapp.com/legislations/118357</v>
      </c>
      <c r="H1464" s="1" t="s">
        <v>18</v>
      </c>
      <c r="I1464" s="1" t="s">
        <v>4263</v>
      </c>
      <c r="J1464" s="1" t="s">
        <v>4264</v>
      </c>
      <c r="K1464" s="5">
        <v>44607.0</v>
      </c>
      <c r="L1464" s="5">
        <v>44592.0</v>
      </c>
      <c r="M1464" s="5">
        <v>44608.0</v>
      </c>
    </row>
    <row r="1465" hidden="1">
      <c r="A1465" s="1" t="s">
        <v>21</v>
      </c>
      <c r="B1465" s="1" t="s">
        <v>25</v>
      </c>
      <c r="C1465" s="1" t="s">
        <v>2990</v>
      </c>
      <c r="D1465" s="1" t="str">
        <f>Vlookup(C1465,'Oil &amp; Gas Documents - Canada'!F:M,2,FALSE)</f>
        <v>#N/A</v>
      </c>
      <c r="E1465" s="1" t="str">
        <f>Vlookup(C1465,'Oil &amp; Gas Documents - Canada'!F:N,9,FALSE)</f>
        <v>#N/A</v>
      </c>
      <c r="F1465" s="1" t="s">
        <v>2991</v>
      </c>
      <c r="G1465" s="4" t="str">
        <f>HYPERLINK("http://nimonikapp.com/legislations/16155","http://nimonikapp.com/legislations/16155")</f>
        <v>http://nimonikapp.com/legislations/16155</v>
      </c>
      <c r="H1465" s="1" t="s">
        <v>18</v>
      </c>
      <c r="I1465" s="1" t="s">
        <v>4263</v>
      </c>
      <c r="J1465" s="1" t="s">
        <v>4264</v>
      </c>
      <c r="K1465" s="5">
        <v>44607.0</v>
      </c>
      <c r="L1465" s="5">
        <v>44592.0</v>
      </c>
      <c r="M1465" s="5">
        <v>44608.0</v>
      </c>
    </row>
    <row r="1466" hidden="1">
      <c r="A1466" s="1" t="s">
        <v>21</v>
      </c>
      <c r="B1466" s="1" t="s">
        <v>25</v>
      </c>
      <c r="C1466" s="1" t="s">
        <v>1963</v>
      </c>
      <c r="D1466" s="1" t="str">
        <f>Vlookup(C1466,'Oil &amp; Gas Documents - Canada'!F:M,2,FALSE)</f>
        <v>#N/A</v>
      </c>
      <c r="E1466" s="1" t="str">
        <f>Vlookup(C1466,'Oil &amp; Gas Documents - Canada'!F:N,9,FALSE)</f>
        <v>#N/A</v>
      </c>
      <c r="F1466" s="1" t="s">
        <v>1964</v>
      </c>
      <c r="G1466" s="4" t="str">
        <f>HYPERLINK("http://nimonikapp.com/legislations/6408","http://nimonikapp.com/legislations/6408")</f>
        <v>http://nimonikapp.com/legislations/6408</v>
      </c>
      <c r="H1466" s="1" t="s">
        <v>18</v>
      </c>
      <c r="I1466" s="1" t="s">
        <v>4263</v>
      </c>
      <c r="J1466" s="1" t="s">
        <v>4264</v>
      </c>
      <c r="K1466" s="5">
        <v>44607.0</v>
      </c>
      <c r="L1466" s="5">
        <v>44592.0</v>
      </c>
      <c r="M1466" s="5">
        <v>44608.0</v>
      </c>
      <c r="N1466" s="1" t="s">
        <v>1967</v>
      </c>
    </row>
    <row r="1467" hidden="1">
      <c r="A1467" s="1" t="s">
        <v>21</v>
      </c>
      <c r="B1467" s="1" t="s">
        <v>25</v>
      </c>
      <c r="C1467" s="1" t="s">
        <v>1311</v>
      </c>
      <c r="D1467" s="1" t="str">
        <f>Vlookup(C1467,'Oil &amp; Gas Documents - Canada'!F:M,2,FALSE)</f>
        <v>#N/A</v>
      </c>
      <c r="E1467" s="1" t="str">
        <f>Vlookup(C1467,'Oil &amp; Gas Documents - Canada'!F:N,9,FALSE)</f>
        <v>#N/A</v>
      </c>
      <c r="F1467" s="1" t="s">
        <v>1312</v>
      </c>
      <c r="G1467" s="4" t="str">
        <f>HYPERLINK("http://nimonikapp.com/legislations/6393","http://nimonikapp.com/legislations/6393")</f>
        <v>http://nimonikapp.com/legislations/6393</v>
      </c>
      <c r="H1467" s="1" t="s">
        <v>18</v>
      </c>
      <c r="I1467" s="1" t="s">
        <v>4263</v>
      </c>
      <c r="J1467" s="1" t="s">
        <v>4264</v>
      </c>
      <c r="K1467" s="5">
        <v>44607.0</v>
      </c>
      <c r="L1467" s="5">
        <v>44592.0</v>
      </c>
      <c r="M1467" s="5">
        <v>44608.0</v>
      </c>
      <c r="N1467" s="1" t="s">
        <v>1313</v>
      </c>
    </row>
    <row r="1468" hidden="1">
      <c r="A1468" s="1" t="s">
        <v>21</v>
      </c>
      <c r="B1468" s="1" t="s">
        <v>25</v>
      </c>
      <c r="C1468" s="1" t="s">
        <v>1979</v>
      </c>
      <c r="D1468" s="1" t="str">
        <f>Vlookup(C1468,'Oil &amp; Gas Documents - Canada'!F:M,2,FALSE)</f>
        <v>#N/A</v>
      </c>
      <c r="E1468" s="1" t="str">
        <f>Vlookup(C1468,'Oil &amp; Gas Documents - Canada'!F:N,9,FALSE)</f>
        <v>#N/A</v>
      </c>
      <c r="F1468" s="1" t="s">
        <v>1980</v>
      </c>
      <c r="G1468" s="4" t="str">
        <f>HYPERLINK("http://nimonikapp.com/legislations/116388","http://nimonikapp.com/legislations/116388")</f>
        <v>http://nimonikapp.com/legislations/116388</v>
      </c>
      <c r="H1468" s="1" t="s">
        <v>18</v>
      </c>
      <c r="I1468" s="1" t="s">
        <v>4263</v>
      </c>
      <c r="J1468" s="1" t="s">
        <v>4264</v>
      </c>
      <c r="K1468" s="5">
        <v>44607.0</v>
      </c>
      <c r="L1468" s="5">
        <v>44592.0</v>
      </c>
      <c r="M1468" s="5">
        <v>44608.0</v>
      </c>
      <c r="N1468" s="1" t="s">
        <v>1983</v>
      </c>
    </row>
    <row r="1469" hidden="1">
      <c r="A1469" s="1" t="s">
        <v>73</v>
      </c>
      <c r="B1469" s="1" t="s">
        <v>25</v>
      </c>
      <c r="C1469" s="1" t="s">
        <v>1033</v>
      </c>
      <c r="D1469" s="1" t="str">
        <f>Vlookup(C1469,'Oil &amp; Gas Documents - Canada'!F:M,2,FALSE)</f>
        <v>#N/A</v>
      </c>
      <c r="E1469" s="1" t="str">
        <f>Vlookup(C1469,'Oil &amp; Gas Documents - Canada'!F:N,9,FALSE)</f>
        <v>#N/A</v>
      </c>
      <c r="F1469" s="1" t="s">
        <v>1034</v>
      </c>
      <c r="G1469" s="4" t="str">
        <f>HYPERLINK("http://nimonikapp.com/legislations/895","http://nimonikapp.com/legislations/895")</f>
        <v>http://nimonikapp.com/legislations/895</v>
      </c>
      <c r="H1469" s="1" t="s">
        <v>18</v>
      </c>
      <c r="I1469" s="1" t="s">
        <v>4265</v>
      </c>
      <c r="J1469" s="1" t="s">
        <v>4266</v>
      </c>
      <c r="K1469" s="5">
        <v>44608.0</v>
      </c>
      <c r="L1469" s="5">
        <v>44594.0</v>
      </c>
      <c r="M1469" s="5">
        <v>44608.0</v>
      </c>
      <c r="N1469" s="1" t="s">
        <v>1037</v>
      </c>
    </row>
    <row r="1470" hidden="1">
      <c r="A1470" s="1" t="s">
        <v>73</v>
      </c>
      <c r="B1470" s="1" t="s">
        <v>25</v>
      </c>
      <c r="C1470" s="1" t="s">
        <v>4267</v>
      </c>
      <c r="D1470" s="1" t="str">
        <f>Vlookup(C1470,'Oil &amp; Gas Documents - Canada'!F:M,2,FALSE)</f>
        <v>#N/A</v>
      </c>
      <c r="E1470" s="1" t="str">
        <f>Vlookup(C1470,'Oil &amp; Gas Documents - Canada'!F:N,9,FALSE)</f>
        <v>#N/A</v>
      </c>
      <c r="F1470" s="1" t="s">
        <v>4268</v>
      </c>
      <c r="G1470" s="4" t="str">
        <f>HYPERLINK("http://nimonikapp.com/legislations/12948","http://nimonikapp.com/legislations/12948")</f>
        <v>http://nimonikapp.com/legislations/12948</v>
      </c>
      <c r="H1470" s="1" t="s">
        <v>18</v>
      </c>
      <c r="I1470" s="1" t="s">
        <v>4269</v>
      </c>
      <c r="J1470" s="1" t="s">
        <v>4270</v>
      </c>
      <c r="K1470" s="5">
        <v>44608.0</v>
      </c>
      <c r="L1470" s="5">
        <v>44595.0</v>
      </c>
      <c r="M1470" s="5">
        <v>44608.0</v>
      </c>
    </row>
    <row r="1471" hidden="1">
      <c r="A1471" s="1" t="s">
        <v>73</v>
      </c>
      <c r="B1471" s="1" t="s">
        <v>25</v>
      </c>
      <c r="C1471" s="1" t="s">
        <v>2459</v>
      </c>
      <c r="D1471" s="1" t="str">
        <f>Vlookup(C1471,'Oil &amp; Gas Documents - Canada'!F:M,2,FALSE)</f>
        <v>#N/A</v>
      </c>
      <c r="E1471" s="1" t="str">
        <f>Vlookup(C1471,'Oil &amp; Gas Documents - Canada'!F:N,9,FALSE)</f>
        <v>#N/A</v>
      </c>
      <c r="F1471" s="1" t="s">
        <v>2460</v>
      </c>
      <c r="G1471" s="4" t="str">
        <f>HYPERLINK("http://nimonikapp.com/legislations/321812","http://nimonikapp.com/legislations/321812")</f>
        <v>http://nimonikapp.com/legislations/321812</v>
      </c>
      <c r="H1471" s="1" t="s">
        <v>18</v>
      </c>
      <c r="I1471" s="1" t="s">
        <v>4271</v>
      </c>
      <c r="J1471" s="1" t="s">
        <v>4272</v>
      </c>
      <c r="K1471" s="5">
        <v>44608.0</v>
      </c>
      <c r="L1471" s="5">
        <v>44593.0</v>
      </c>
      <c r="M1471" s="5">
        <v>44608.0</v>
      </c>
      <c r="N1471" s="1" t="s">
        <v>2461</v>
      </c>
    </row>
    <row r="1472" hidden="1">
      <c r="A1472" s="1" t="s">
        <v>73</v>
      </c>
      <c r="B1472" s="1" t="s">
        <v>25</v>
      </c>
      <c r="C1472" s="1" t="s">
        <v>1033</v>
      </c>
      <c r="D1472" s="1" t="str">
        <f>Vlookup(C1472,'Oil &amp; Gas Documents - Canada'!F:M,2,FALSE)</f>
        <v>#N/A</v>
      </c>
      <c r="E1472" s="1" t="str">
        <f>Vlookup(C1472,'Oil &amp; Gas Documents - Canada'!F:N,9,FALSE)</f>
        <v>#N/A</v>
      </c>
      <c r="F1472" s="1" t="s">
        <v>1034</v>
      </c>
      <c r="G1472" s="4" t="str">
        <f>HYPERLINK("http://nimonikapp.com/legislations/895","http://nimonikapp.com/legislations/895")</f>
        <v>http://nimonikapp.com/legislations/895</v>
      </c>
      <c r="H1472" s="1" t="s">
        <v>18</v>
      </c>
      <c r="I1472" s="1" t="s">
        <v>4273</v>
      </c>
      <c r="J1472" s="1" t="s">
        <v>4274</v>
      </c>
      <c r="K1472" s="5">
        <v>44608.0</v>
      </c>
      <c r="L1472" s="5">
        <v>44594.0</v>
      </c>
      <c r="M1472" s="5">
        <v>44608.0</v>
      </c>
      <c r="N1472" s="1" t="s">
        <v>1037</v>
      </c>
    </row>
    <row r="1473">
      <c r="A1473" s="1" t="s">
        <v>21</v>
      </c>
      <c r="B1473" s="1" t="s">
        <v>25</v>
      </c>
      <c r="C1473" s="1" t="s">
        <v>692</v>
      </c>
      <c r="D1473" s="1" t="str">
        <f>Vlookup(C1473,'Oil &amp; Gas Documents - Canada'!F:M,2,FALSE)</f>
        <v>general, oil_and_gas</v>
      </c>
      <c r="E1473" s="1" t="str">
        <f>Vlookup(C1473,'Oil &amp; Gas Documents - Canada'!F:N,9,FALSE)</f>
        <v/>
      </c>
      <c r="F1473" s="1" t="s">
        <v>691</v>
      </c>
      <c r="G1473" s="4" t="str">
        <f>HYPERLINK("http://nimonikapp.com/legislations/4129","http://nimonikapp.com/legislations/4129")</f>
        <v>http://nimonikapp.com/legislations/4129</v>
      </c>
      <c r="H1473" s="1" t="s">
        <v>18</v>
      </c>
      <c r="I1473" s="1" t="s">
        <v>694</v>
      </c>
      <c r="J1473" s="1" t="s">
        <v>695</v>
      </c>
      <c r="K1473" s="5">
        <v>44607.0</v>
      </c>
      <c r="L1473" s="5">
        <v>44592.0</v>
      </c>
      <c r="M1473" s="5">
        <v>44608.0</v>
      </c>
      <c r="N1473" s="1" t="s">
        <v>693</v>
      </c>
    </row>
    <row r="1474" hidden="1">
      <c r="A1474" s="1" t="s">
        <v>73</v>
      </c>
      <c r="B1474" s="1" t="s">
        <v>25</v>
      </c>
      <c r="C1474" s="1" t="s">
        <v>4275</v>
      </c>
      <c r="D1474" s="1" t="str">
        <f>Vlookup(C1474,'Oil &amp; Gas Documents - Canada'!F:M,2,FALSE)</f>
        <v>#N/A</v>
      </c>
      <c r="E1474" s="1" t="str">
        <f>Vlookup(C1474,'Oil &amp; Gas Documents - Canada'!F:N,9,FALSE)</f>
        <v>#N/A</v>
      </c>
      <c r="F1474" s="1" t="s">
        <v>4276</v>
      </c>
      <c r="G1474" s="4" t="str">
        <f>HYPERLINK("http://nimonikapp.com/legislations/77","http://nimonikapp.com/legislations/77")</f>
        <v>http://nimonikapp.com/legislations/77</v>
      </c>
      <c r="H1474" s="1" t="s">
        <v>18</v>
      </c>
      <c r="I1474" s="1" t="s">
        <v>4277</v>
      </c>
      <c r="J1474" s="1" t="s">
        <v>4278</v>
      </c>
      <c r="K1474" s="5">
        <v>44608.0</v>
      </c>
      <c r="L1474" s="5">
        <v>44595.0</v>
      </c>
      <c r="M1474" s="5">
        <v>44608.0</v>
      </c>
      <c r="N1474" s="1" t="s">
        <v>4279</v>
      </c>
    </row>
    <row r="1475" hidden="1">
      <c r="A1475" s="1" t="s">
        <v>73</v>
      </c>
      <c r="B1475" s="1" t="s">
        <v>25</v>
      </c>
      <c r="C1475" s="1" t="s">
        <v>3616</v>
      </c>
      <c r="D1475" s="1" t="str">
        <f>Vlookup(C1475,'Oil &amp; Gas Documents - Canada'!F:M,2,FALSE)</f>
        <v>#N/A</v>
      </c>
      <c r="E1475" s="1" t="str">
        <f>Vlookup(C1475,'Oil &amp; Gas Documents - Canada'!F:N,9,FALSE)</f>
        <v>#N/A</v>
      </c>
      <c r="F1475" s="1" t="s">
        <v>3617</v>
      </c>
      <c r="G1475" s="4" t="str">
        <f>HYPERLINK("http://nimonikapp.com/legislations/321956","http://nimonikapp.com/legislations/321956")</f>
        <v>http://nimonikapp.com/legislations/321956</v>
      </c>
      <c r="H1475" s="1" t="s">
        <v>18</v>
      </c>
      <c r="I1475" s="1" t="s">
        <v>4280</v>
      </c>
      <c r="J1475" s="1" t="s">
        <v>3619</v>
      </c>
      <c r="K1475" s="5">
        <v>44608.0</v>
      </c>
      <c r="L1475" s="5">
        <v>44589.0</v>
      </c>
      <c r="M1475" s="5">
        <v>44608.0</v>
      </c>
      <c r="N1475" s="1" t="s">
        <v>3620</v>
      </c>
    </row>
    <row r="1476" hidden="1">
      <c r="A1476" s="1" t="s">
        <v>1105</v>
      </c>
      <c r="B1476" s="1" t="s">
        <v>25</v>
      </c>
      <c r="C1476" s="1" t="s">
        <v>4281</v>
      </c>
      <c r="D1476" s="1" t="str">
        <f>Vlookup(C1476,'Oil &amp; Gas Documents - Canada'!F:M,2,FALSE)</f>
        <v>#N/A</v>
      </c>
      <c r="E1476" s="1" t="str">
        <f>Vlookup(C1476,'Oil &amp; Gas Documents - Canada'!F:N,9,FALSE)</f>
        <v>#N/A</v>
      </c>
      <c r="F1476" s="1" t="s">
        <v>104</v>
      </c>
      <c r="G1476" s="4" t="str">
        <f t="shared" ref="G1476:G1477" si="31">HYPERLINK("http://nimonikapp.com/legislations/117864","http://nimonikapp.com/legislations/117864")</f>
        <v>http://nimonikapp.com/legislations/117864</v>
      </c>
      <c r="H1476" s="1" t="s">
        <v>18</v>
      </c>
      <c r="I1476" s="1" t="s">
        <v>4282</v>
      </c>
      <c r="J1476" s="1" t="s">
        <v>4283</v>
      </c>
      <c r="K1476" s="5">
        <v>44602.0</v>
      </c>
      <c r="L1476" s="5">
        <v>44652.0</v>
      </c>
      <c r="M1476" s="5">
        <v>44608.0</v>
      </c>
      <c r="N1476" s="1" t="s">
        <v>4284</v>
      </c>
    </row>
    <row r="1477" hidden="1">
      <c r="A1477" s="1" t="s">
        <v>1105</v>
      </c>
      <c r="B1477" s="1" t="s">
        <v>25</v>
      </c>
      <c r="C1477" s="1" t="s">
        <v>4281</v>
      </c>
      <c r="D1477" s="1" t="str">
        <f>Vlookup(C1477,'Oil &amp; Gas Documents - Canada'!F:M,2,FALSE)</f>
        <v>#N/A</v>
      </c>
      <c r="E1477" s="1" t="str">
        <f>Vlookup(C1477,'Oil &amp; Gas Documents - Canada'!F:N,9,FALSE)</f>
        <v>#N/A</v>
      </c>
      <c r="F1477" s="1" t="s">
        <v>104</v>
      </c>
      <c r="G1477" s="4" t="str">
        <f t="shared" si="31"/>
        <v>http://nimonikapp.com/legislations/117864</v>
      </c>
      <c r="H1477" s="1" t="s">
        <v>18</v>
      </c>
      <c r="I1477" s="1" t="s">
        <v>4285</v>
      </c>
      <c r="J1477" s="1" t="s">
        <v>4286</v>
      </c>
      <c r="K1477" s="5">
        <v>44602.0</v>
      </c>
      <c r="L1477" s="5">
        <v>44652.0</v>
      </c>
      <c r="M1477" s="5">
        <v>44608.0</v>
      </c>
      <c r="N1477" s="1" t="s">
        <v>4284</v>
      </c>
    </row>
    <row r="1478" hidden="1">
      <c r="A1478" s="1" t="s">
        <v>53</v>
      </c>
      <c r="B1478" s="1" t="s">
        <v>15</v>
      </c>
      <c r="C1478" s="1" t="s">
        <v>4287</v>
      </c>
      <c r="D1478" s="1" t="str">
        <f>Vlookup(C1478,'Oil &amp; Gas Documents - Canada'!F:M,2,FALSE)</f>
        <v>#N/A</v>
      </c>
      <c r="E1478" s="1" t="str">
        <f>Vlookup(C1478,'Oil &amp; Gas Documents - Canada'!F:N,9,FALSE)</f>
        <v>#N/A</v>
      </c>
      <c r="F1478" s="1" t="s">
        <v>4288</v>
      </c>
      <c r="G1478" s="4" t="str">
        <f>HYPERLINK("http://nimonikapp.com/legislations/324758","http://nimonikapp.com/legislations/324758")</f>
        <v>http://nimonikapp.com/legislations/324758</v>
      </c>
      <c r="H1478" s="1" t="s">
        <v>18</v>
      </c>
      <c r="K1478" s="5">
        <v>44603.0</v>
      </c>
      <c r="L1478" s="5">
        <v>44585.0</v>
      </c>
      <c r="M1478" s="5">
        <v>44607.0</v>
      </c>
    </row>
    <row r="1479" hidden="1">
      <c r="A1479" s="1" t="s">
        <v>53</v>
      </c>
      <c r="B1479" s="1" t="s">
        <v>15</v>
      </c>
      <c r="C1479" s="1" t="s">
        <v>4289</v>
      </c>
      <c r="D1479" s="1" t="str">
        <f>Vlookup(C1479,'Oil &amp; Gas Documents - Canada'!F:M,2,FALSE)</f>
        <v>#N/A</v>
      </c>
      <c r="E1479" s="1" t="str">
        <f>Vlookup(C1479,'Oil &amp; Gas Documents - Canada'!F:N,9,FALSE)</f>
        <v>#N/A</v>
      </c>
      <c r="F1479" s="1" t="s">
        <v>4290</v>
      </c>
      <c r="G1479" s="4" t="str">
        <f>HYPERLINK("http://nimonikapp.com/legislations/324757","http://nimonikapp.com/legislations/324757")</f>
        <v>http://nimonikapp.com/legislations/324757</v>
      </c>
      <c r="H1479" s="1" t="s">
        <v>18</v>
      </c>
      <c r="K1479" s="5">
        <v>44603.0</v>
      </c>
      <c r="L1479" s="5">
        <v>44585.0</v>
      </c>
      <c r="M1479" s="5">
        <v>44607.0</v>
      </c>
    </row>
    <row r="1480" hidden="1">
      <c r="A1480" s="1" t="s">
        <v>73</v>
      </c>
      <c r="B1480" s="1" t="s">
        <v>15</v>
      </c>
      <c r="C1480" s="1" t="s">
        <v>4291</v>
      </c>
      <c r="D1480" s="1" t="str">
        <f>Vlookup(C1480,'Oil &amp; Gas Documents - Canada'!F:M,2,FALSE)</f>
        <v>#N/A</v>
      </c>
      <c r="E1480" s="1" t="str">
        <f>Vlookup(C1480,'Oil &amp; Gas Documents - Canada'!F:N,9,FALSE)</f>
        <v>#N/A</v>
      </c>
      <c r="F1480" s="1" t="s">
        <v>4292</v>
      </c>
      <c r="G1480" s="4" t="str">
        <f>HYPERLINK("http://nimonikapp.com/legislations/324736","http://nimonikapp.com/legislations/324736")</f>
        <v>http://nimonikapp.com/legislations/324736</v>
      </c>
      <c r="H1480" s="1" t="s">
        <v>18</v>
      </c>
      <c r="K1480" s="5">
        <v>44604.0</v>
      </c>
      <c r="M1480" s="5">
        <v>44607.0</v>
      </c>
    </row>
    <row r="1481" hidden="1">
      <c r="A1481" s="1" t="s">
        <v>73</v>
      </c>
      <c r="B1481" s="1" t="s">
        <v>15</v>
      </c>
      <c r="C1481" s="1" t="s">
        <v>4293</v>
      </c>
      <c r="D1481" s="1" t="str">
        <f>Vlookup(C1481,'Oil &amp; Gas Documents - Canada'!F:M,2,FALSE)</f>
        <v>#N/A</v>
      </c>
      <c r="E1481" s="1" t="str">
        <f>Vlookup(C1481,'Oil &amp; Gas Documents - Canada'!F:N,9,FALSE)</f>
        <v>#N/A</v>
      </c>
      <c r="F1481" s="1" t="s">
        <v>1041</v>
      </c>
      <c r="G1481" s="4" t="str">
        <f>HYPERLINK("http://nimonikapp.com/legislations/324735","http://nimonikapp.com/legislations/324735")</f>
        <v>http://nimonikapp.com/legislations/324735</v>
      </c>
      <c r="H1481" s="1" t="s">
        <v>516</v>
      </c>
      <c r="K1481" s="5">
        <v>44604.0</v>
      </c>
      <c r="M1481" s="5">
        <v>44607.0</v>
      </c>
    </row>
    <row r="1482" hidden="1">
      <c r="A1482" s="1" t="s">
        <v>73</v>
      </c>
      <c r="B1482" s="1" t="s">
        <v>15</v>
      </c>
      <c r="C1482" s="1" t="s">
        <v>4294</v>
      </c>
      <c r="D1482" s="1" t="str">
        <f>Vlookup(C1482,'Oil &amp; Gas Documents - Canada'!F:M,2,FALSE)</f>
        <v>#N/A</v>
      </c>
      <c r="E1482" s="1" t="str">
        <f>Vlookup(C1482,'Oil &amp; Gas Documents - Canada'!F:N,9,FALSE)</f>
        <v>#N/A</v>
      </c>
      <c r="F1482" s="1" t="s">
        <v>4295</v>
      </c>
      <c r="G1482" s="4" t="str">
        <f>HYPERLINK("http://nimonikapp.com/legislations/324732","http://nimonikapp.com/legislations/324732")</f>
        <v>http://nimonikapp.com/legislations/324732</v>
      </c>
      <c r="H1482" s="1" t="s">
        <v>516</v>
      </c>
      <c r="K1482" s="5">
        <v>44604.0</v>
      </c>
      <c r="M1482" s="5">
        <v>44607.0</v>
      </c>
    </row>
    <row r="1483" hidden="1">
      <c r="A1483" s="1" t="s">
        <v>486</v>
      </c>
      <c r="B1483" s="1" t="s">
        <v>25</v>
      </c>
      <c r="C1483" s="1" t="s">
        <v>4296</v>
      </c>
      <c r="D1483" s="1" t="str">
        <f>Vlookup(C1483,'Oil &amp; Gas Documents - Canada'!F:M,2,FALSE)</f>
        <v>#N/A</v>
      </c>
      <c r="E1483" s="1" t="str">
        <f>Vlookup(C1483,'Oil &amp; Gas Documents - Canada'!F:N,9,FALSE)</f>
        <v>#N/A</v>
      </c>
      <c r="F1483" s="1" t="s">
        <v>4297</v>
      </c>
      <c r="G1483" s="4" t="str">
        <f>HYPERLINK("http://nimonikapp.com/legislations/1522","http://nimonikapp.com/legislations/1522")</f>
        <v>http://nimonikapp.com/legislations/1522</v>
      </c>
      <c r="H1483" s="1" t="s">
        <v>18</v>
      </c>
      <c r="I1483" s="1" t="s">
        <v>4298</v>
      </c>
      <c r="J1483" s="1" t="s">
        <v>4299</v>
      </c>
      <c r="K1483" s="5">
        <v>44604.0</v>
      </c>
      <c r="L1483" s="5">
        <v>44651.0</v>
      </c>
      <c r="M1483" s="5">
        <v>44607.0</v>
      </c>
      <c r="N1483" s="1" t="s">
        <v>4300</v>
      </c>
    </row>
    <row r="1484" hidden="1">
      <c r="A1484" s="1" t="s">
        <v>99</v>
      </c>
      <c r="B1484" s="1" t="s">
        <v>25</v>
      </c>
      <c r="C1484" s="1" t="s">
        <v>4301</v>
      </c>
      <c r="D1484" s="1" t="str">
        <f>Vlookup(C1484,'Oil &amp; Gas Documents - Canada'!F:M,2,FALSE)</f>
        <v>#N/A</v>
      </c>
      <c r="E1484" s="1" t="str">
        <f>Vlookup(C1484,'Oil &amp; Gas Documents - Canada'!F:N,9,FALSE)</f>
        <v>#N/A</v>
      </c>
      <c r="F1484" s="1" t="s">
        <v>4302</v>
      </c>
      <c r="G1484" s="4" t="str">
        <f>HYPERLINK("http://nimonikapp.com/legislations/312257","http://nimonikapp.com/legislations/312257")</f>
        <v>http://nimonikapp.com/legislations/312257</v>
      </c>
      <c r="H1484" s="1" t="s">
        <v>18</v>
      </c>
      <c r="I1484" s="1" t="s">
        <v>4303</v>
      </c>
      <c r="J1484" s="1" t="s">
        <v>4304</v>
      </c>
      <c r="K1484" s="5">
        <v>44596.0</v>
      </c>
      <c r="M1484" s="5">
        <v>44607.0</v>
      </c>
      <c r="N1484" s="1" t="s">
        <v>4305</v>
      </c>
    </row>
    <row r="1485" hidden="1">
      <c r="A1485" s="1" t="s">
        <v>70</v>
      </c>
      <c r="B1485" s="1" t="s">
        <v>25</v>
      </c>
      <c r="C1485" s="1" t="s">
        <v>3502</v>
      </c>
      <c r="D1485" s="1" t="str">
        <f>Vlookup(C1485,'Oil &amp; Gas Documents - Canada'!F:M,2,FALSE)</f>
        <v>#N/A</v>
      </c>
      <c r="E1485" s="1" t="str">
        <f>Vlookup(C1485,'Oil &amp; Gas Documents - Canada'!F:N,9,FALSE)</f>
        <v>#N/A</v>
      </c>
      <c r="F1485" s="1" t="s">
        <v>3503</v>
      </c>
      <c r="G1485" s="4" t="str">
        <f>HYPERLINK("http://nimonikapp.com/legislations/193102","http://nimonikapp.com/legislations/193102")</f>
        <v>http://nimonikapp.com/legislations/193102</v>
      </c>
      <c r="H1485" s="1" t="s">
        <v>356</v>
      </c>
      <c r="I1485" s="1" t="s">
        <v>4306</v>
      </c>
      <c r="J1485" s="1" t="s">
        <v>3965</v>
      </c>
      <c r="K1485" s="5">
        <v>44625.0</v>
      </c>
      <c r="L1485" s="5">
        <v>44609.0</v>
      </c>
      <c r="M1485" s="5">
        <v>44607.0</v>
      </c>
      <c r="N1485" s="1" t="s">
        <v>3506</v>
      </c>
    </row>
    <row r="1486">
      <c r="A1486" s="1" t="s">
        <v>24</v>
      </c>
      <c r="B1486" s="1" t="s">
        <v>25</v>
      </c>
      <c r="C1486" s="1" t="s">
        <v>697</v>
      </c>
      <c r="D1486" s="1" t="str">
        <f>Vlookup(C1486,'Oil &amp; Gas Documents - Canada'!F:M,2,FALSE)</f>
        <v>oil_and_gas</v>
      </c>
      <c r="E1486" s="1" t="str">
        <f>Vlookup(C1486,'Oil &amp; Gas Documents - Canada'!F:N,9,FALSE)</f>
        <v/>
      </c>
      <c r="F1486" s="1" t="s">
        <v>696</v>
      </c>
      <c r="G1486" s="4" t="str">
        <f t="shared" ref="G1486:G1487" si="32">HYPERLINK("http://nimonikapp.com/legislations/10240","http://nimonikapp.com/legislations/10240")</f>
        <v>http://nimonikapp.com/legislations/10240</v>
      </c>
      <c r="H1486" s="1" t="s">
        <v>18</v>
      </c>
      <c r="I1486" s="1" t="s">
        <v>699</v>
      </c>
      <c r="J1486" s="1" t="s">
        <v>700</v>
      </c>
      <c r="K1486" s="5">
        <v>44505.0</v>
      </c>
      <c r="L1486" s="5">
        <v>44505.0</v>
      </c>
      <c r="M1486" s="5">
        <v>44603.0</v>
      </c>
      <c r="N1486" s="1" t="s">
        <v>698</v>
      </c>
    </row>
    <row r="1487">
      <c r="A1487" s="1" t="s">
        <v>24</v>
      </c>
      <c r="B1487" s="1" t="s">
        <v>25</v>
      </c>
      <c r="C1487" s="1" t="s">
        <v>697</v>
      </c>
      <c r="D1487" s="1" t="str">
        <f>Vlookup(C1487,'Oil &amp; Gas Documents - Canada'!F:M,2,FALSE)</f>
        <v>oil_and_gas</v>
      </c>
      <c r="E1487" s="1" t="str">
        <f>Vlookup(C1487,'Oil &amp; Gas Documents - Canada'!F:N,9,FALSE)</f>
        <v/>
      </c>
      <c r="F1487" s="1" t="s">
        <v>696</v>
      </c>
      <c r="G1487" s="4" t="str">
        <f t="shared" si="32"/>
        <v>http://nimonikapp.com/legislations/10240</v>
      </c>
      <c r="H1487" s="1" t="s">
        <v>18</v>
      </c>
      <c r="I1487" s="1" t="s">
        <v>701</v>
      </c>
      <c r="J1487" s="1" t="s">
        <v>702</v>
      </c>
      <c r="K1487" s="5">
        <v>44553.0</v>
      </c>
      <c r="L1487" s="5">
        <v>44553.0</v>
      </c>
      <c r="M1487" s="5">
        <v>44603.0</v>
      </c>
      <c r="N1487" s="1" t="s">
        <v>698</v>
      </c>
    </row>
    <row r="1488">
      <c r="A1488" s="1" t="s">
        <v>24</v>
      </c>
      <c r="B1488" s="1" t="s">
        <v>25</v>
      </c>
      <c r="C1488" s="1" t="s">
        <v>704</v>
      </c>
      <c r="D1488" s="1" t="str">
        <f>Vlookup(C1488,'Oil &amp; Gas Documents - Canada'!F:M,2,FALSE)</f>
        <v>oil_and_gas</v>
      </c>
      <c r="E1488" s="1" t="str">
        <f>Vlookup(C1488,'Oil &amp; Gas Documents - Canada'!F:N,9,FALSE)</f>
        <v/>
      </c>
      <c r="F1488" s="1" t="s">
        <v>703</v>
      </c>
      <c r="G1488" s="4" t="str">
        <f>HYPERLINK("http://nimonikapp.com/legislations/129716","http://nimonikapp.com/legislations/129716")</f>
        <v>http://nimonikapp.com/legislations/129716</v>
      </c>
      <c r="H1488" s="1" t="s">
        <v>18</v>
      </c>
      <c r="I1488" s="1" t="s">
        <v>706</v>
      </c>
      <c r="J1488" s="1" t="s">
        <v>707</v>
      </c>
      <c r="K1488" s="5">
        <v>44504.0</v>
      </c>
      <c r="L1488" s="5">
        <v>44504.0</v>
      </c>
      <c r="M1488" s="5">
        <v>44603.0</v>
      </c>
      <c r="N1488" s="1" t="s">
        <v>705</v>
      </c>
    </row>
    <row r="1489" hidden="1">
      <c r="A1489" s="1" t="s">
        <v>73</v>
      </c>
      <c r="B1489" s="1" t="s">
        <v>15</v>
      </c>
      <c r="C1489" s="1" t="s">
        <v>4307</v>
      </c>
      <c r="D1489" s="1" t="str">
        <f>Vlookup(C1489,'Oil &amp; Gas Documents - Canada'!F:M,2,FALSE)</f>
        <v>#N/A</v>
      </c>
      <c r="E1489" s="1" t="str">
        <f>Vlookup(C1489,'Oil &amp; Gas Documents - Canada'!F:N,9,FALSE)</f>
        <v>#N/A</v>
      </c>
      <c r="F1489" s="1" t="s">
        <v>4308</v>
      </c>
      <c r="G1489" s="4" t="str">
        <f>HYPERLINK("http://nimonikapp.com/legislations/324301","http://nimonikapp.com/legislations/324301")</f>
        <v>http://nimonikapp.com/legislations/324301</v>
      </c>
      <c r="H1489" s="1" t="s">
        <v>516</v>
      </c>
      <c r="K1489" s="5">
        <v>44601.0</v>
      </c>
      <c r="M1489" s="5">
        <v>44602.0</v>
      </c>
    </row>
    <row r="1490">
      <c r="A1490" s="1" t="s">
        <v>24</v>
      </c>
      <c r="B1490" s="1" t="s">
        <v>25</v>
      </c>
      <c r="C1490" s="1" t="s">
        <v>709</v>
      </c>
      <c r="D1490" s="1" t="str">
        <f>Vlookup(C1490,'Oil &amp; Gas Documents - Canada'!F:M,2,FALSE)</f>
        <v>oil_and_gas</v>
      </c>
      <c r="E1490" s="1" t="str">
        <f>Vlookup(C1490,'Oil &amp; Gas Documents - Canada'!F:N,9,FALSE)</f>
        <v/>
      </c>
      <c r="F1490" s="1" t="s">
        <v>708</v>
      </c>
      <c r="G1490" s="4" t="str">
        <f>HYPERLINK("http://nimonikapp.com/legislations/10261","http://nimonikapp.com/legislations/10261")</f>
        <v>http://nimonikapp.com/legislations/10261</v>
      </c>
      <c r="H1490" s="1" t="s">
        <v>18</v>
      </c>
      <c r="I1490" s="1" t="s">
        <v>711</v>
      </c>
      <c r="J1490" s="1" t="s">
        <v>712</v>
      </c>
      <c r="K1490" s="5">
        <v>44505.0</v>
      </c>
      <c r="L1490" s="5">
        <v>44505.0</v>
      </c>
      <c r="M1490" s="5">
        <v>44602.0</v>
      </c>
      <c r="N1490" s="1" t="s">
        <v>710</v>
      </c>
    </row>
    <row r="1491" hidden="1">
      <c r="A1491" s="1" t="s">
        <v>24</v>
      </c>
      <c r="B1491" s="1" t="s">
        <v>25</v>
      </c>
      <c r="C1491" s="1" t="s">
        <v>4309</v>
      </c>
      <c r="D1491" s="1" t="str">
        <f>Vlookup(C1491,'Oil &amp; Gas Documents - Canada'!F:M,2,FALSE)</f>
        <v>#N/A</v>
      </c>
      <c r="E1491" s="1" t="str">
        <f>Vlookup(C1491,'Oil &amp; Gas Documents - Canada'!F:N,9,FALSE)</f>
        <v>#N/A</v>
      </c>
      <c r="F1491" s="1" t="s">
        <v>4310</v>
      </c>
      <c r="G1491" s="4" t="str">
        <f t="shared" ref="G1491:G1492" si="33">HYPERLINK("http://nimonikapp.com/legislations/1125","http://nimonikapp.com/legislations/1125")</f>
        <v>http://nimonikapp.com/legislations/1125</v>
      </c>
      <c r="H1491" s="1" t="s">
        <v>18</v>
      </c>
      <c r="I1491" s="1" t="s">
        <v>4311</v>
      </c>
      <c r="J1491" s="1" t="s">
        <v>4312</v>
      </c>
      <c r="K1491" s="5">
        <v>44600.0</v>
      </c>
      <c r="L1491" s="5">
        <v>44599.0</v>
      </c>
      <c r="M1491" s="5">
        <v>44602.0</v>
      </c>
      <c r="N1491" s="1" t="s">
        <v>4313</v>
      </c>
    </row>
    <row r="1492" hidden="1">
      <c r="A1492" s="1" t="s">
        <v>24</v>
      </c>
      <c r="B1492" s="1" t="s">
        <v>25</v>
      </c>
      <c r="C1492" s="1" t="s">
        <v>4309</v>
      </c>
      <c r="D1492" s="1" t="str">
        <f>Vlookup(C1492,'Oil &amp; Gas Documents - Canada'!F:M,2,FALSE)</f>
        <v>#N/A</v>
      </c>
      <c r="E1492" s="1" t="str">
        <f>Vlookup(C1492,'Oil &amp; Gas Documents - Canada'!F:N,9,FALSE)</f>
        <v>#N/A</v>
      </c>
      <c r="F1492" s="1" t="s">
        <v>4310</v>
      </c>
      <c r="G1492" s="4" t="str">
        <f t="shared" si="33"/>
        <v>http://nimonikapp.com/legislations/1125</v>
      </c>
      <c r="H1492" s="1" t="s">
        <v>18</v>
      </c>
      <c r="I1492" s="1" t="s">
        <v>4314</v>
      </c>
      <c r="J1492" s="1" t="s">
        <v>4315</v>
      </c>
      <c r="K1492" s="5">
        <v>44600.0</v>
      </c>
      <c r="L1492" s="5">
        <v>44594.0</v>
      </c>
      <c r="M1492" s="5">
        <v>44602.0</v>
      </c>
      <c r="N1492" s="1" t="s">
        <v>4313</v>
      </c>
    </row>
    <row r="1493" hidden="1">
      <c r="A1493" s="1" t="s">
        <v>202</v>
      </c>
      <c r="B1493" s="1" t="s">
        <v>25</v>
      </c>
      <c r="C1493" s="1" t="s">
        <v>4089</v>
      </c>
      <c r="D1493" s="1" t="str">
        <f>Vlookup(C1493,'Oil &amp; Gas Documents - Canada'!F:M,2,FALSE)</f>
        <v>#N/A</v>
      </c>
      <c r="E1493" s="1" t="str">
        <f>Vlookup(C1493,'Oil &amp; Gas Documents - Canada'!F:N,9,FALSE)</f>
        <v>#N/A</v>
      </c>
      <c r="F1493" s="1" t="s">
        <v>1410</v>
      </c>
      <c r="G1493" s="4" t="str">
        <f t="shared" ref="G1493:G1494" si="34">HYPERLINK("http://nimonikapp.com/legislations/297642","http://nimonikapp.com/legislations/297642")</f>
        <v>http://nimonikapp.com/legislations/297642</v>
      </c>
      <c r="H1493" s="1" t="s">
        <v>18</v>
      </c>
      <c r="I1493" s="1" t="s">
        <v>4316</v>
      </c>
      <c r="J1493" s="1" t="s">
        <v>1410</v>
      </c>
      <c r="K1493" s="5">
        <v>44602.0</v>
      </c>
      <c r="L1493" s="5">
        <v>44596.0</v>
      </c>
      <c r="M1493" s="5">
        <v>44602.0</v>
      </c>
      <c r="N1493" s="1" t="s">
        <v>4091</v>
      </c>
    </row>
    <row r="1494" hidden="1">
      <c r="A1494" s="1" t="s">
        <v>202</v>
      </c>
      <c r="B1494" s="1" t="s">
        <v>25</v>
      </c>
      <c r="C1494" s="1" t="s">
        <v>4089</v>
      </c>
      <c r="D1494" s="1" t="str">
        <f>Vlookup(C1494,'Oil &amp; Gas Documents - Canada'!F:M,2,FALSE)</f>
        <v>#N/A</v>
      </c>
      <c r="E1494" s="1" t="str">
        <f>Vlookup(C1494,'Oil &amp; Gas Documents - Canada'!F:N,9,FALSE)</f>
        <v>#N/A</v>
      </c>
      <c r="F1494" s="1" t="s">
        <v>1410</v>
      </c>
      <c r="G1494" s="4" t="str">
        <f t="shared" si="34"/>
        <v>http://nimonikapp.com/legislations/297642</v>
      </c>
      <c r="H1494" s="1" t="s">
        <v>18</v>
      </c>
      <c r="I1494" s="1" t="s">
        <v>4317</v>
      </c>
      <c r="J1494" s="1" t="s">
        <v>1410</v>
      </c>
      <c r="K1494" s="5">
        <v>44602.0</v>
      </c>
      <c r="L1494" s="5">
        <v>44596.0</v>
      </c>
      <c r="M1494" s="5">
        <v>44602.0</v>
      </c>
      <c r="N1494" s="1" t="s">
        <v>4091</v>
      </c>
    </row>
    <row r="1495" hidden="1">
      <c r="A1495" s="1" t="s">
        <v>14</v>
      </c>
      <c r="B1495" s="1" t="s">
        <v>15</v>
      </c>
      <c r="C1495" s="1" t="s">
        <v>4318</v>
      </c>
      <c r="D1495" s="1" t="str">
        <f>Vlookup(C1495,'Oil &amp; Gas Documents - Canada'!F:M,2,FALSE)</f>
        <v>#N/A</v>
      </c>
      <c r="E1495" s="1" t="str">
        <f>Vlookup(C1495,'Oil &amp; Gas Documents - Canada'!F:N,9,FALSE)</f>
        <v>#N/A</v>
      </c>
      <c r="F1495" s="1" t="s">
        <v>4319</v>
      </c>
      <c r="G1495" s="4" t="str">
        <f>HYPERLINK("http://nimonikapp.com/legislations/324148","http://nimonikapp.com/legislations/324148")</f>
        <v>http://nimonikapp.com/legislations/324148</v>
      </c>
      <c r="H1495" s="1" t="s">
        <v>516</v>
      </c>
      <c r="K1495" s="5">
        <v>44599.0</v>
      </c>
      <c r="M1495" s="5">
        <v>44600.0</v>
      </c>
    </row>
    <row r="1496">
      <c r="A1496" s="1" t="s">
        <v>73</v>
      </c>
      <c r="B1496" s="1" t="s">
        <v>15</v>
      </c>
      <c r="C1496" s="1" t="s">
        <v>714</v>
      </c>
      <c r="D1496" s="1" t="s">
        <v>26</v>
      </c>
      <c r="E1496" s="1" t="str">
        <f>Vlookup(C1496,'Oil &amp; Gas Documents - Canada'!F:N,9,FALSE)</f>
        <v>#N/A</v>
      </c>
      <c r="F1496" s="1" t="s">
        <v>713</v>
      </c>
      <c r="G1496" s="4" t="str">
        <f>HYPERLINK("http://nimonikapp.com/legislations/324184","http://nimonikapp.com/legislations/324184")</f>
        <v>http://nimonikapp.com/legislations/324184</v>
      </c>
      <c r="H1496" s="1" t="s">
        <v>516</v>
      </c>
      <c r="K1496" s="5">
        <v>44599.0</v>
      </c>
      <c r="M1496" s="5">
        <v>44600.0</v>
      </c>
    </row>
    <row r="1497" hidden="1">
      <c r="A1497" s="1" t="s">
        <v>73</v>
      </c>
      <c r="B1497" s="1" t="s">
        <v>15</v>
      </c>
      <c r="C1497" s="1" t="s">
        <v>4320</v>
      </c>
      <c r="D1497" s="1" t="str">
        <f>Vlookup(C1497,'Oil &amp; Gas Documents - Canada'!F:M,2,FALSE)</f>
        <v>#N/A</v>
      </c>
      <c r="E1497" s="1" t="str">
        <f>Vlookup(C1497,'Oil &amp; Gas Documents - Canada'!F:N,9,FALSE)</f>
        <v>#N/A</v>
      </c>
      <c r="F1497" s="1" t="s">
        <v>4321</v>
      </c>
      <c r="G1497" s="4" t="str">
        <f>HYPERLINK("http://nimonikapp.com/legislations/324151","http://nimonikapp.com/legislations/324151")</f>
        <v>http://nimonikapp.com/legislations/324151</v>
      </c>
      <c r="H1497" s="1" t="s">
        <v>516</v>
      </c>
      <c r="K1497" s="5">
        <v>44597.0</v>
      </c>
      <c r="M1497" s="5">
        <v>44600.0</v>
      </c>
    </row>
    <row r="1498" hidden="1">
      <c r="A1498" s="1" t="s">
        <v>73</v>
      </c>
      <c r="B1498" s="1" t="s">
        <v>15</v>
      </c>
      <c r="C1498" s="1" t="s">
        <v>4322</v>
      </c>
      <c r="D1498" s="1" t="str">
        <f>Vlookup(C1498,'Oil &amp; Gas Documents - Canada'!F:M,2,FALSE)</f>
        <v>#N/A</v>
      </c>
      <c r="E1498" s="1" t="str">
        <f>Vlookup(C1498,'Oil &amp; Gas Documents - Canada'!F:N,9,FALSE)</f>
        <v>#N/A</v>
      </c>
      <c r="F1498" s="1" t="s">
        <v>4323</v>
      </c>
      <c r="G1498" s="4" t="str">
        <f>HYPERLINK("http://nimonikapp.com/legislations/324146","http://nimonikapp.com/legislations/324146")</f>
        <v>http://nimonikapp.com/legislations/324146</v>
      </c>
      <c r="H1498" s="1" t="s">
        <v>516</v>
      </c>
      <c r="K1498" s="5">
        <v>44597.0</v>
      </c>
      <c r="M1498" s="5">
        <v>44600.0</v>
      </c>
    </row>
    <row r="1499" hidden="1">
      <c r="A1499" s="1" t="s">
        <v>73</v>
      </c>
      <c r="B1499" s="1" t="s">
        <v>15</v>
      </c>
      <c r="C1499" s="1" t="s">
        <v>4324</v>
      </c>
      <c r="D1499" s="1" t="str">
        <f>Vlookup(C1499,'Oil &amp; Gas Documents - Canada'!F:M,2,FALSE)</f>
        <v>#N/A</v>
      </c>
      <c r="E1499" s="1" t="str">
        <f>Vlookup(C1499,'Oil &amp; Gas Documents - Canada'!F:N,9,FALSE)</f>
        <v>#N/A</v>
      </c>
      <c r="F1499" s="1" t="s">
        <v>4323</v>
      </c>
      <c r="G1499" s="4" t="str">
        <f>HYPERLINK("http://nimonikapp.com/legislations/324145","http://nimonikapp.com/legislations/324145")</f>
        <v>http://nimonikapp.com/legislations/324145</v>
      </c>
      <c r="H1499" s="1" t="s">
        <v>516</v>
      </c>
      <c r="K1499" s="5">
        <v>44597.0</v>
      </c>
      <c r="M1499" s="5">
        <v>44600.0</v>
      </c>
    </row>
    <row r="1500" hidden="1">
      <c r="A1500" s="1" t="s">
        <v>73</v>
      </c>
      <c r="B1500" s="1" t="s">
        <v>25</v>
      </c>
      <c r="C1500" s="1" t="s">
        <v>1762</v>
      </c>
      <c r="D1500" s="1" t="str">
        <f>Vlookup(C1500,'Oil &amp; Gas Documents - Canada'!F:M,2,FALSE)</f>
        <v>#N/A</v>
      </c>
      <c r="E1500" s="1" t="str">
        <f>Vlookup(C1500,'Oil &amp; Gas Documents - Canada'!F:N,9,FALSE)</f>
        <v>#N/A</v>
      </c>
      <c r="F1500" s="1" t="s">
        <v>1763</v>
      </c>
      <c r="G1500" s="4" t="str">
        <f>HYPERLINK("http://nimonikapp.com/legislations/6187","http://nimonikapp.com/legislations/6187")</f>
        <v>http://nimonikapp.com/legislations/6187</v>
      </c>
      <c r="H1500" s="1" t="s">
        <v>18</v>
      </c>
      <c r="I1500" s="1" t="s">
        <v>4325</v>
      </c>
      <c r="J1500" s="1" t="s">
        <v>4326</v>
      </c>
      <c r="K1500" s="5">
        <v>44597.0</v>
      </c>
      <c r="L1500" s="5">
        <v>44596.0</v>
      </c>
      <c r="M1500" s="5">
        <v>44600.0</v>
      </c>
      <c r="N1500" s="1" t="s">
        <v>1766</v>
      </c>
    </row>
    <row r="1501" hidden="1">
      <c r="A1501" s="1" t="s">
        <v>202</v>
      </c>
      <c r="B1501" s="1" t="s">
        <v>25</v>
      </c>
      <c r="C1501" s="1" t="s">
        <v>4327</v>
      </c>
      <c r="D1501" s="1" t="str">
        <f>Vlookup(C1501,'Oil &amp; Gas Documents - Canada'!F:M,2,FALSE)</f>
        <v>#N/A</v>
      </c>
      <c r="E1501" s="1" t="str">
        <f>Vlookup(C1501,'Oil &amp; Gas Documents - Canada'!F:N,9,FALSE)</f>
        <v>#N/A</v>
      </c>
      <c r="F1501" s="1" t="s">
        <v>4328</v>
      </c>
      <c r="G1501" s="4" t="str">
        <f>HYPERLINK("http://nimonikapp.com/legislations/3728","http://nimonikapp.com/legislations/3728")</f>
        <v>http://nimonikapp.com/legislations/3728</v>
      </c>
      <c r="H1501" s="1" t="s">
        <v>18</v>
      </c>
      <c r="I1501" s="1" t="s">
        <v>4329</v>
      </c>
      <c r="J1501" s="1" t="s">
        <v>4330</v>
      </c>
      <c r="K1501" s="5">
        <v>44597.0</v>
      </c>
      <c r="M1501" s="5">
        <v>44600.0</v>
      </c>
      <c r="N1501" s="1" t="s">
        <v>4331</v>
      </c>
    </row>
    <row r="1502" hidden="1">
      <c r="A1502" s="1" t="s">
        <v>202</v>
      </c>
      <c r="B1502" s="1" t="s">
        <v>25</v>
      </c>
      <c r="C1502" s="1" t="s">
        <v>4332</v>
      </c>
      <c r="D1502" s="1" t="str">
        <f>Vlookup(C1502,'Oil &amp; Gas Documents - Canada'!F:M,2,FALSE)</f>
        <v>#N/A</v>
      </c>
      <c r="E1502" s="1" t="str">
        <f>Vlookup(C1502,'Oil &amp; Gas Documents - Canada'!F:N,9,FALSE)</f>
        <v>#N/A</v>
      </c>
      <c r="F1502" s="1" t="s">
        <v>4333</v>
      </c>
      <c r="G1502" s="4" t="str">
        <f>HYPERLINK("http://nimonikapp.com/legislations/14727","http://nimonikapp.com/legislations/14727")</f>
        <v>http://nimonikapp.com/legislations/14727</v>
      </c>
      <c r="H1502" s="1" t="s">
        <v>18</v>
      </c>
      <c r="I1502" s="1" t="s">
        <v>4329</v>
      </c>
      <c r="J1502" s="1" t="s">
        <v>4330</v>
      </c>
      <c r="K1502" s="5">
        <v>44597.0</v>
      </c>
      <c r="M1502" s="5">
        <v>44600.0</v>
      </c>
      <c r="N1502" s="1" t="s">
        <v>4334</v>
      </c>
    </row>
    <row r="1503" hidden="1">
      <c r="A1503" s="1" t="s">
        <v>557</v>
      </c>
      <c r="B1503" s="1" t="s">
        <v>15</v>
      </c>
      <c r="C1503" s="1" t="s">
        <v>4335</v>
      </c>
      <c r="D1503" s="1" t="str">
        <f>Vlookup(C1503,'Oil &amp; Gas Documents - Canada'!F:M,2,FALSE)</f>
        <v>#N/A</v>
      </c>
      <c r="E1503" s="1" t="str">
        <f>Vlookup(C1503,'Oil &amp; Gas Documents - Canada'!F:N,9,FALSE)</f>
        <v>#N/A</v>
      </c>
      <c r="F1503" s="1" t="s">
        <v>4336</v>
      </c>
      <c r="G1503" s="4" t="str">
        <f>HYPERLINK("http://nimonikapp.com/legislations/322314","http://nimonikapp.com/legislations/322314")</f>
        <v>http://nimonikapp.com/legislations/322314</v>
      </c>
      <c r="H1503" s="1" t="s">
        <v>18</v>
      </c>
      <c r="K1503" s="5">
        <v>44592.0</v>
      </c>
      <c r="L1503" s="5">
        <v>44592.0</v>
      </c>
      <c r="M1503" s="5">
        <v>44595.0</v>
      </c>
    </row>
    <row r="1504" hidden="1">
      <c r="A1504" s="1" t="s">
        <v>221</v>
      </c>
      <c r="B1504" s="1" t="s">
        <v>25</v>
      </c>
      <c r="C1504" s="1" t="s">
        <v>1289</v>
      </c>
      <c r="D1504" s="1" t="str">
        <f>Vlookup(C1504,'Oil &amp; Gas Documents - Canada'!F:M,2,FALSE)</f>
        <v>#N/A</v>
      </c>
      <c r="E1504" s="1" t="str">
        <f>Vlookup(C1504,'Oil &amp; Gas Documents - Canada'!F:N,9,FALSE)</f>
        <v>#N/A</v>
      </c>
      <c r="F1504" s="1" t="s">
        <v>1290</v>
      </c>
      <c r="G1504" s="4" t="str">
        <f>HYPERLINK("http://nimonikapp.com/legislations/1455","http://nimonikapp.com/legislations/1455")</f>
        <v>http://nimonikapp.com/legislations/1455</v>
      </c>
      <c r="H1504" s="1" t="s">
        <v>18</v>
      </c>
      <c r="I1504" s="1" t="s">
        <v>4337</v>
      </c>
      <c r="J1504" s="1" t="s">
        <v>1292</v>
      </c>
      <c r="K1504" s="5">
        <v>44592.0</v>
      </c>
      <c r="L1504" s="5">
        <v>44592.0</v>
      </c>
      <c r="M1504" s="5">
        <v>44595.0</v>
      </c>
      <c r="N1504" s="1" t="s">
        <v>1293</v>
      </c>
    </row>
    <row r="1505" hidden="1">
      <c r="A1505" s="1" t="s">
        <v>202</v>
      </c>
      <c r="B1505" s="1" t="s">
        <v>25</v>
      </c>
      <c r="C1505" s="1" t="s">
        <v>4089</v>
      </c>
      <c r="D1505" s="1" t="str">
        <f>Vlookup(C1505,'Oil &amp; Gas Documents - Canada'!F:M,2,FALSE)</f>
        <v>#N/A</v>
      </c>
      <c r="E1505" s="1" t="str">
        <f>Vlookup(C1505,'Oil &amp; Gas Documents - Canada'!F:N,9,FALSE)</f>
        <v>#N/A</v>
      </c>
      <c r="F1505" s="1" t="s">
        <v>1410</v>
      </c>
      <c r="G1505" s="4" t="str">
        <f>HYPERLINK("http://nimonikapp.com/legislations/297642","http://nimonikapp.com/legislations/297642")</f>
        <v>http://nimonikapp.com/legislations/297642</v>
      </c>
      <c r="H1505" s="1" t="s">
        <v>18</v>
      </c>
      <c r="I1505" s="1" t="s">
        <v>4338</v>
      </c>
      <c r="J1505" s="1" t="s">
        <v>1410</v>
      </c>
      <c r="K1505" s="5">
        <v>44595.0</v>
      </c>
      <c r="L1505" s="5">
        <v>44592.0</v>
      </c>
      <c r="M1505" s="5">
        <v>44595.0</v>
      </c>
      <c r="N1505" s="1" t="s">
        <v>4091</v>
      </c>
    </row>
    <row r="1506" hidden="1">
      <c r="A1506" s="1" t="s">
        <v>202</v>
      </c>
      <c r="B1506" s="1" t="s">
        <v>25</v>
      </c>
      <c r="C1506" s="1" t="s">
        <v>4339</v>
      </c>
      <c r="D1506" s="1" t="str">
        <f>Vlookup(C1506,'Oil &amp; Gas Documents - Canada'!F:M,2,FALSE)</f>
        <v>#N/A</v>
      </c>
      <c r="E1506" s="1" t="str">
        <f>Vlookup(C1506,'Oil &amp; Gas Documents - Canada'!F:N,9,FALSE)</f>
        <v>#N/A</v>
      </c>
      <c r="F1506" s="1" t="s">
        <v>1410</v>
      </c>
      <c r="G1506" s="4" t="str">
        <f>HYPERLINK("http://nimonikapp.com/legislations/272853","http://nimonikapp.com/legislations/272853")</f>
        <v>http://nimonikapp.com/legislations/272853</v>
      </c>
      <c r="H1506" s="1" t="s">
        <v>18</v>
      </c>
      <c r="I1506" s="1" t="s">
        <v>4340</v>
      </c>
      <c r="J1506" s="1" t="s">
        <v>1410</v>
      </c>
      <c r="K1506" s="5">
        <v>44595.0</v>
      </c>
      <c r="L1506" s="5">
        <v>44588.0</v>
      </c>
      <c r="M1506" s="5">
        <v>44595.0</v>
      </c>
      <c r="N1506" s="1" t="s">
        <v>4341</v>
      </c>
    </row>
    <row r="1507" hidden="1">
      <c r="A1507" s="1" t="s">
        <v>24</v>
      </c>
      <c r="B1507" s="1" t="s">
        <v>25</v>
      </c>
      <c r="C1507" s="1" t="s">
        <v>4342</v>
      </c>
      <c r="D1507" s="1" t="str">
        <f>Vlookup(C1507,'Oil &amp; Gas Documents - Canada'!F:M,2,FALSE)</f>
        <v>#N/A</v>
      </c>
      <c r="E1507" s="1" t="str">
        <f>Vlookup(C1507,'Oil &amp; Gas Documents - Canada'!F:N,9,FALSE)</f>
        <v>#N/A</v>
      </c>
      <c r="F1507" s="1" t="s">
        <v>4343</v>
      </c>
      <c r="G1507" s="4" t="str">
        <f>HYPERLINK("http://nimonikapp.com/legislations/4090","http://nimonikapp.com/legislations/4090")</f>
        <v>http://nimonikapp.com/legislations/4090</v>
      </c>
      <c r="H1507" s="1" t="s">
        <v>18</v>
      </c>
      <c r="I1507" s="1" t="s">
        <v>4344</v>
      </c>
      <c r="J1507" s="1" t="s">
        <v>4345</v>
      </c>
      <c r="K1507" s="5">
        <v>44592.0</v>
      </c>
      <c r="M1507" s="5">
        <v>44595.0</v>
      </c>
    </row>
    <row r="1508" hidden="1">
      <c r="A1508" s="1" t="s">
        <v>24</v>
      </c>
      <c r="B1508" s="1" t="s">
        <v>25</v>
      </c>
      <c r="C1508" s="1" t="s">
        <v>2711</v>
      </c>
      <c r="D1508" s="1" t="str">
        <f>Vlookup(C1508,'Oil &amp; Gas Documents - Canada'!F:M,2,FALSE)</f>
        <v>#N/A</v>
      </c>
      <c r="E1508" s="1" t="str">
        <f>Vlookup(C1508,'Oil &amp; Gas Documents - Canada'!F:N,9,FALSE)</f>
        <v>#N/A</v>
      </c>
      <c r="F1508" s="1" t="s">
        <v>2712</v>
      </c>
      <c r="G1508" s="4" t="str">
        <f>HYPERLINK("http://nimonikapp.com/legislations/7112","http://nimonikapp.com/legislations/7112")</f>
        <v>http://nimonikapp.com/legislations/7112</v>
      </c>
      <c r="H1508" s="1" t="s">
        <v>18</v>
      </c>
      <c r="I1508" s="1" t="s">
        <v>4344</v>
      </c>
      <c r="J1508" s="1" t="s">
        <v>4345</v>
      </c>
      <c r="K1508" s="5">
        <v>44592.0</v>
      </c>
      <c r="M1508" s="5">
        <v>44595.0</v>
      </c>
      <c r="N1508" s="1" t="s">
        <v>2715</v>
      </c>
    </row>
    <row r="1509">
      <c r="A1509" s="1" t="s">
        <v>202</v>
      </c>
      <c r="B1509" s="1" t="s">
        <v>15</v>
      </c>
      <c r="C1509" s="1" t="s">
        <v>716</v>
      </c>
      <c r="D1509" s="1" t="str">
        <f>Vlookup(C1509,'Oil &amp; Gas Documents - Canada'!F:M,2,FALSE)</f>
        <v>oil_and_gas</v>
      </c>
      <c r="E1509" s="1" t="str">
        <f>Vlookup(C1509,'Oil &amp; Gas Documents - Canada'!F:N,9,FALSE)</f>
        <v/>
      </c>
      <c r="F1509" s="1" t="s">
        <v>715</v>
      </c>
      <c r="G1509" s="4" t="str">
        <f>HYPERLINK("http://nimonikapp.com/legislations/322228","http://nimonikapp.com/legislations/322228")</f>
        <v>http://nimonikapp.com/legislations/322228</v>
      </c>
      <c r="H1509" s="1" t="s">
        <v>516</v>
      </c>
      <c r="K1509" s="5">
        <v>44594.0</v>
      </c>
      <c r="M1509" s="5">
        <v>44594.0</v>
      </c>
    </row>
    <row r="1510" hidden="1">
      <c r="A1510" s="1" t="s">
        <v>73</v>
      </c>
      <c r="B1510" s="1" t="s">
        <v>15</v>
      </c>
      <c r="C1510" s="1" t="s">
        <v>4346</v>
      </c>
      <c r="D1510" s="1" t="str">
        <f>Vlookup(C1510,'Oil &amp; Gas Documents - Canada'!F:M,2,FALSE)</f>
        <v>#N/A</v>
      </c>
      <c r="E1510" s="1" t="str">
        <f>Vlookup(C1510,'Oil &amp; Gas Documents - Canada'!F:N,9,FALSE)</f>
        <v>#N/A</v>
      </c>
      <c r="F1510" s="1" t="s">
        <v>4347</v>
      </c>
      <c r="G1510" s="4" t="str">
        <f>HYPERLINK("http://nimonikapp.com/legislations/322272","http://nimonikapp.com/legislations/322272")</f>
        <v>http://nimonikapp.com/legislations/322272</v>
      </c>
      <c r="H1510" s="1" t="s">
        <v>18</v>
      </c>
      <c r="K1510" s="5">
        <v>44594.0</v>
      </c>
      <c r="L1510" s="5">
        <v>44579.0</v>
      </c>
      <c r="M1510" s="5">
        <v>44594.0</v>
      </c>
    </row>
    <row r="1511" hidden="1">
      <c r="A1511" s="1" t="s">
        <v>21</v>
      </c>
      <c r="B1511" s="1" t="s">
        <v>364</v>
      </c>
      <c r="C1511" s="1" t="s">
        <v>4348</v>
      </c>
      <c r="D1511" s="1" t="str">
        <f>Vlookup(C1511,'Oil &amp; Gas Documents - Canada'!F:M,2,FALSE)</f>
        <v>#N/A</v>
      </c>
      <c r="E1511" s="1" t="str">
        <f>Vlookup(C1511,'Oil &amp; Gas Documents - Canada'!F:N,9,FALSE)</f>
        <v>#N/A</v>
      </c>
      <c r="F1511" s="1" t="s">
        <v>4349</v>
      </c>
      <c r="G1511" s="4" t="str">
        <f>HYPERLINK("http://nimonikapp.com/legislations/6824","http://nimonikapp.com/legislations/6824")</f>
        <v>http://nimonikapp.com/legislations/6824</v>
      </c>
      <c r="H1511" s="1" t="s">
        <v>356</v>
      </c>
      <c r="I1511" s="1" t="s">
        <v>4350</v>
      </c>
      <c r="J1511" s="1" t="s">
        <v>4349</v>
      </c>
      <c r="K1511" s="5">
        <v>44592.0</v>
      </c>
      <c r="L1511" s="5">
        <v>44575.0</v>
      </c>
      <c r="M1511" s="5">
        <v>44594.0</v>
      </c>
      <c r="N1511" s="1" t="s">
        <v>4351</v>
      </c>
    </row>
    <row r="1512" hidden="1">
      <c r="A1512" s="1" t="s">
        <v>73</v>
      </c>
      <c r="B1512" s="1" t="s">
        <v>25</v>
      </c>
      <c r="C1512" s="1" t="s">
        <v>4352</v>
      </c>
      <c r="D1512" s="1" t="str">
        <f>Vlookup(C1512,'Oil &amp; Gas Documents - Canada'!F:M,2,FALSE)</f>
        <v>#N/A</v>
      </c>
      <c r="E1512" s="1" t="str">
        <f>Vlookup(C1512,'Oil &amp; Gas Documents - Canada'!F:N,9,FALSE)</f>
        <v>#N/A</v>
      </c>
      <c r="F1512" s="1" t="s">
        <v>1318</v>
      </c>
      <c r="G1512" s="4" t="str">
        <f>HYPERLINK("http://nimonikapp.com/legislations/321582","http://nimonikapp.com/legislations/321582")</f>
        <v>http://nimonikapp.com/legislations/321582</v>
      </c>
      <c r="H1512" s="1" t="s">
        <v>18</v>
      </c>
      <c r="I1512" s="1" t="s">
        <v>4353</v>
      </c>
      <c r="J1512" s="1" t="s">
        <v>4354</v>
      </c>
      <c r="K1512" s="5">
        <v>44594.0</v>
      </c>
      <c r="L1512" s="5">
        <v>44574.0</v>
      </c>
      <c r="M1512" s="5">
        <v>44594.0</v>
      </c>
      <c r="N1512" s="1" t="s">
        <v>4355</v>
      </c>
    </row>
    <row r="1513" hidden="1">
      <c r="A1513" s="1" t="s">
        <v>70</v>
      </c>
      <c r="B1513" s="1" t="s">
        <v>15</v>
      </c>
      <c r="C1513" s="1" t="s">
        <v>4356</v>
      </c>
      <c r="D1513" s="1" t="str">
        <f>Vlookup(C1513,'Oil &amp; Gas Documents - Canada'!F:M,2,FALSE)</f>
        <v>#N/A</v>
      </c>
      <c r="E1513" s="1" t="str">
        <f>Vlookup(C1513,'Oil &amp; Gas Documents - Canada'!F:N,9,FALSE)</f>
        <v>#N/A</v>
      </c>
      <c r="F1513" s="1" t="s">
        <v>4357</v>
      </c>
      <c r="G1513" s="4" t="str">
        <f>HYPERLINK("http://nimonikapp.com/legislations/322191","http://nimonikapp.com/legislations/322191")</f>
        <v>http://nimonikapp.com/legislations/322191</v>
      </c>
      <c r="H1513" s="1" t="s">
        <v>18</v>
      </c>
      <c r="K1513" s="5">
        <v>44604.0</v>
      </c>
      <c r="L1513" s="5">
        <v>44587.0</v>
      </c>
      <c r="M1513" s="5">
        <v>44593.0</v>
      </c>
    </row>
    <row r="1514" hidden="1">
      <c r="A1514" s="1" t="s">
        <v>70</v>
      </c>
      <c r="B1514" s="1" t="s">
        <v>15</v>
      </c>
      <c r="C1514" s="1" t="s">
        <v>4358</v>
      </c>
      <c r="D1514" s="1" t="str">
        <f>Vlookup(C1514,'Oil &amp; Gas Documents - Canada'!F:M,2,FALSE)</f>
        <v>#N/A</v>
      </c>
      <c r="E1514" s="1" t="str">
        <f>Vlookup(C1514,'Oil &amp; Gas Documents - Canada'!F:N,9,FALSE)</f>
        <v>#N/A</v>
      </c>
      <c r="F1514" s="1" t="s">
        <v>4359</v>
      </c>
      <c r="G1514" s="4" t="str">
        <f>HYPERLINK("http://nimonikapp.com/legislations/322169","http://nimonikapp.com/legislations/322169")</f>
        <v>http://nimonikapp.com/legislations/322169</v>
      </c>
      <c r="H1514" s="1" t="s">
        <v>516</v>
      </c>
      <c r="K1514" s="5">
        <v>44587.0</v>
      </c>
      <c r="M1514" s="5">
        <v>44593.0</v>
      </c>
    </row>
    <row r="1515" hidden="1">
      <c r="A1515" s="1" t="s">
        <v>70</v>
      </c>
      <c r="B1515" s="1" t="s">
        <v>15</v>
      </c>
      <c r="C1515" s="1" t="s">
        <v>4360</v>
      </c>
      <c r="D1515" s="1" t="str">
        <f>Vlookup(C1515,'Oil &amp; Gas Documents - Canada'!F:M,2,FALSE)</f>
        <v>#N/A</v>
      </c>
      <c r="E1515" s="1" t="str">
        <f>Vlookup(C1515,'Oil &amp; Gas Documents - Canada'!F:N,9,FALSE)</f>
        <v>#N/A</v>
      </c>
      <c r="F1515" s="1" t="s">
        <v>4361</v>
      </c>
      <c r="G1515" s="4" t="str">
        <f>HYPERLINK("http://nimonikapp.com/legislations/322168","http://nimonikapp.com/legislations/322168")</f>
        <v>http://nimonikapp.com/legislations/322168</v>
      </c>
      <c r="H1515" s="1" t="s">
        <v>516</v>
      </c>
      <c r="K1515" s="5">
        <v>44588.0</v>
      </c>
      <c r="M1515" s="5">
        <v>44593.0</v>
      </c>
    </row>
    <row r="1516" hidden="1">
      <c r="A1516" s="1" t="s">
        <v>70</v>
      </c>
      <c r="B1516" s="1" t="s">
        <v>15</v>
      </c>
      <c r="C1516" s="1" t="s">
        <v>4362</v>
      </c>
      <c r="D1516" s="1" t="str">
        <f>Vlookup(C1516,'Oil &amp; Gas Documents - Canada'!F:M,2,FALSE)</f>
        <v>#N/A</v>
      </c>
      <c r="E1516" s="1" t="str">
        <f>Vlookup(C1516,'Oil &amp; Gas Documents - Canada'!F:N,9,FALSE)</f>
        <v>#N/A</v>
      </c>
      <c r="F1516" s="1" t="s">
        <v>4363</v>
      </c>
      <c r="G1516" s="4" t="str">
        <f>HYPERLINK("http://nimonikapp.com/legislations/322134","http://nimonikapp.com/legislations/322134")</f>
        <v>http://nimonikapp.com/legislations/322134</v>
      </c>
      <c r="H1516" s="1" t="s">
        <v>516</v>
      </c>
      <c r="K1516" s="5">
        <v>44588.0</v>
      </c>
      <c r="M1516" s="5">
        <v>44593.0</v>
      </c>
    </row>
    <row r="1517" hidden="1">
      <c r="A1517" s="1" t="s">
        <v>70</v>
      </c>
      <c r="B1517" s="1" t="s">
        <v>15</v>
      </c>
      <c r="C1517" s="1" t="s">
        <v>4364</v>
      </c>
      <c r="D1517" s="1" t="str">
        <f>Vlookup(C1517,'Oil &amp; Gas Documents - Canada'!F:M,2,FALSE)</f>
        <v>#N/A</v>
      </c>
      <c r="E1517" s="1" t="str">
        <f>Vlookup(C1517,'Oil &amp; Gas Documents - Canada'!F:N,9,FALSE)</f>
        <v>#N/A</v>
      </c>
      <c r="F1517" s="1" t="s">
        <v>3488</v>
      </c>
      <c r="G1517" s="4" t="str">
        <f>HYPERLINK("http://nimonikapp.com/legislations/322127","http://nimonikapp.com/legislations/322127")</f>
        <v>http://nimonikapp.com/legislations/322127</v>
      </c>
      <c r="H1517" s="1" t="s">
        <v>516</v>
      </c>
      <c r="K1517" s="5">
        <v>44589.0</v>
      </c>
      <c r="M1517" s="5">
        <v>44593.0</v>
      </c>
    </row>
    <row r="1518" hidden="1">
      <c r="A1518" s="1" t="s">
        <v>73</v>
      </c>
      <c r="B1518" s="1" t="s">
        <v>15</v>
      </c>
      <c r="C1518" s="1" t="s">
        <v>4365</v>
      </c>
      <c r="D1518" s="1" t="str">
        <f>Vlookup(C1518,'Oil &amp; Gas Documents - Canada'!F:M,2,FALSE)</f>
        <v>#N/A</v>
      </c>
      <c r="E1518" s="1" t="str">
        <f>Vlookup(C1518,'Oil &amp; Gas Documents - Canada'!F:N,9,FALSE)</f>
        <v>#N/A</v>
      </c>
      <c r="F1518" s="1" t="s">
        <v>4366</v>
      </c>
      <c r="G1518" s="4" t="str">
        <f>HYPERLINK("http://nimonikapp.com/legislations/322095","http://nimonikapp.com/legislations/322095")</f>
        <v>http://nimonikapp.com/legislations/322095</v>
      </c>
      <c r="H1518" s="1" t="s">
        <v>516</v>
      </c>
      <c r="K1518" s="5">
        <v>44589.0</v>
      </c>
      <c r="M1518" s="5">
        <v>44593.0</v>
      </c>
    </row>
    <row r="1519" hidden="1">
      <c r="A1519" s="1" t="s">
        <v>73</v>
      </c>
      <c r="B1519" s="1" t="s">
        <v>25</v>
      </c>
      <c r="C1519" s="1" t="s">
        <v>1762</v>
      </c>
      <c r="D1519" s="1" t="str">
        <f>Vlookup(C1519,'Oil &amp; Gas Documents - Canada'!F:M,2,FALSE)</f>
        <v>#N/A</v>
      </c>
      <c r="E1519" s="1" t="str">
        <f>Vlookup(C1519,'Oil &amp; Gas Documents - Canada'!F:N,9,FALSE)</f>
        <v>#N/A</v>
      </c>
      <c r="F1519" s="1" t="s">
        <v>1763</v>
      </c>
      <c r="G1519" s="4" t="str">
        <f>HYPERLINK("http://nimonikapp.com/legislations/6187","http://nimonikapp.com/legislations/6187")</f>
        <v>http://nimonikapp.com/legislations/6187</v>
      </c>
      <c r="H1519" s="1" t="s">
        <v>18</v>
      </c>
      <c r="I1519" s="1" t="s">
        <v>4367</v>
      </c>
      <c r="J1519" s="1" t="s">
        <v>4368</v>
      </c>
      <c r="K1519" s="5">
        <v>44589.0</v>
      </c>
      <c r="L1519" s="5">
        <v>44582.0</v>
      </c>
      <c r="M1519" s="5">
        <v>44593.0</v>
      </c>
      <c r="N1519" s="1" t="s">
        <v>1766</v>
      </c>
    </row>
    <row r="1520" hidden="1">
      <c r="A1520" s="1" t="s">
        <v>73</v>
      </c>
      <c r="B1520" s="1" t="s">
        <v>364</v>
      </c>
      <c r="C1520" s="1" t="s">
        <v>4369</v>
      </c>
      <c r="D1520" s="1" t="str">
        <f>Vlookup(C1520,'Oil &amp; Gas Documents - Canada'!F:M,2,FALSE)</f>
        <v>#N/A</v>
      </c>
      <c r="E1520" s="1" t="str">
        <f>Vlookup(C1520,'Oil &amp; Gas Documents - Canada'!F:N,9,FALSE)</f>
        <v>#N/A</v>
      </c>
      <c r="F1520" s="1" t="s">
        <v>4370</v>
      </c>
      <c r="G1520" s="4" t="str">
        <f>HYPERLINK("http://nimonikapp.com/legislations/320086","http://nimonikapp.com/legislations/320086")</f>
        <v>http://nimonikapp.com/legislations/320086</v>
      </c>
      <c r="H1520" s="1" t="s">
        <v>356</v>
      </c>
      <c r="I1520" s="1" t="s">
        <v>4159</v>
      </c>
      <c r="J1520" s="1" t="s">
        <v>4160</v>
      </c>
      <c r="K1520" s="5">
        <v>44589.0</v>
      </c>
      <c r="L1520" s="5">
        <v>44576.0</v>
      </c>
      <c r="M1520" s="5">
        <v>44593.0</v>
      </c>
      <c r="N1520" s="1" t="s">
        <v>4371</v>
      </c>
    </row>
    <row r="1521" hidden="1">
      <c r="A1521" s="1" t="s">
        <v>73</v>
      </c>
      <c r="B1521" s="1" t="s">
        <v>364</v>
      </c>
      <c r="C1521" s="1" t="s">
        <v>4372</v>
      </c>
      <c r="D1521" s="1" t="str">
        <f>Vlookup(C1521,'Oil &amp; Gas Documents - Canada'!F:M,2,FALSE)</f>
        <v>#N/A</v>
      </c>
      <c r="E1521" s="1" t="str">
        <f>Vlookup(C1521,'Oil &amp; Gas Documents - Canada'!F:N,9,FALSE)</f>
        <v>#N/A</v>
      </c>
      <c r="F1521" s="1" t="s">
        <v>4373</v>
      </c>
      <c r="G1521" s="4" t="str">
        <f>HYPERLINK("http://nimonikapp.com/legislations/318807","http://nimonikapp.com/legislations/318807")</f>
        <v>http://nimonikapp.com/legislations/318807</v>
      </c>
      <c r="H1521" s="1" t="s">
        <v>356</v>
      </c>
      <c r="I1521" s="1" t="s">
        <v>3727</v>
      </c>
      <c r="J1521" s="1" t="s">
        <v>3728</v>
      </c>
      <c r="K1521" s="5">
        <v>44589.0</v>
      </c>
      <c r="L1521" s="5">
        <v>44576.0</v>
      </c>
      <c r="M1521" s="5">
        <v>44593.0</v>
      </c>
      <c r="N1521" s="1" t="s">
        <v>4374</v>
      </c>
    </row>
    <row r="1522" hidden="1">
      <c r="A1522" s="1" t="s">
        <v>70</v>
      </c>
      <c r="B1522" s="1" t="s">
        <v>352</v>
      </c>
      <c r="C1522" s="1" t="s">
        <v>4375</v>
      </c>
      <c r="D1522" s="1" t="str">
        <f>Vlookup(C1522,'Oil &amp; Gas Documents - Canada'!F:M,2,FALSE)</f>
        <v>#N/A</v>
      </c>
      <c r="E1522" s="1" t="str">
        <f>Vlookup(C1522,'Oil &amp; Gas Documents - Canada'!F:N,9,FALSE)</f>
        <v>#N/A</v>
      </c>
      <c r="F1522" s="1" t="s">
        <v>4357</v>
      </c>
      <c r="G1522" s="4" t="str">
        <f>HYPERLINK("http://nimonikapp.com/legislations/322189","http://nimonikapp.com/legislations/322189")</f>
        <v>http://nimonikapp.com/legislations/322189</v>
      </c>
      <c r="H1522" s="1" t="s">
        <v>356</v>
      </c>
      <c r="I1522" s="1" t="s">
        <v>4376</v>
      </c>
      <c r="J1522" s="1" t="s">
        <v>4377</v>
      </c>
      <c r="K1522" s="5">
        <v>44604.0</v>
      </c>
      <c r="L1522" s="5">
        <v>44586.0</v>
      </c>
      <c r="M1522" s="5">
        <v>44593.0</v>
      </c>
      <c r="N1522" s="1" t="s">
        <v>4378</v>
      </c>
    </row>
    <row r="1523" hidden="1">
      <c r="A1523" s="1" t="s">
        <v>70</v>
      </c>
      <c r="B1523" s="1" t="s">
        <v>25</v>
      </c>
      <c r="C1523" s="1" t="s">
        <v>4379</v>
      </c>
      <c r="D1523" s="1" t="str">
        <f>Vlookup(C1523,'Oil &amp; Gas Documents - Canada'!F:M,2,FALSE)</f>
        <v>#N/A</v>
      </c>
      <c r="E1523" s="1" t="str">
        <f>Vlookup(C1523,'Oil &amp; Gas Documents - Canada'!F:N,9,FALSE)</f>
        <v>#N/A</v>
      </c>
      <c r="F1523" s="1" t="s">
        <v>4380</v>
      </c>
      <c r="G1523" s="4" t="str">
        <f>HYPERLINK("http://nimonikapp.com/legislations/1310","http://nimonikapp.com/legislations/1310")</f>
        <v>http://nimonikapp.com/legislations/1310</v>
      </c>
      <c r="H1523" s="1" t="s">
        <v>18</v>
      </c>
      <c r="I1523" s="1" t="s">
        <v>4381</v>
      </c>
      <c r="J1523" s="1" t="s">
        <v>4382</v>
      </c>
      <c r="K1523" s="5">
        <v>44604.0</v>
      </c>
      <c r="L1523" s="5">
        <v>44587.0</v>
      </c>
      <c r="M1523" s="5">
        <v>44593.0</v>
      </c>
      <c r="N1523" s="1" t="s">
        <v>4383</v>
      </c>
    </row>
    <row r="1524" hidden="1">
      <c r="A1524" s="1" t="s">
        <v>70</v>
      </c>
      <c r="B1524" s="1" t="s">
        <v>25</v>
      </c>
      <c r="C1524" s="1" t="s">
        <v>3502</v>
      </c>
      <c r="D1524" s="1" t="str">
        <f>Vlookup(C1524,'Oil &amp; Gas Documents - Canada'!F:M,2,FALSE)</f>
        <v>#N/A</v>
      </c>
      <c r="E1524" s="1" t="str">
        <f>Vlookup(C1524,'Oil &amp; Gas Documents - Canada'!F:N,9,FALSE)</f>
        <v>#N/A</v>
      </c>
      <c r="F1524" s="1" t="s">
        <v>3503</v>
      </c>
      <c r="G1524" s="4" t="str">
        <f>HYPERLINK("http://nimonikapp.com/legislations/193102","http://nimonikapp.com/legislations/193102")</f>
        <v>http://nimonikapp.com/legislations/193102</v>
      </c>
      <c r="H1524" s="1" t="s">
        <v>356</v>
      </c>
      <c r="I1524" s="1" t="s">
        <v>4384</v>
      </c>
      <c r="J1524" s="1" t="s">
        <v>3965</v>
      </c>
      <c r="K1524" s="5">
        <v>44604.0</v>
      </c>
      <c r="L1524" s="5">
        <v>44592.0</v>
      </c>
      <c r="M1524" s="5">
        <v>44593.0</v>
      </c>
      <c r="N1524" s="1" t="s">
        <v>3506</v>
      </c>
    </row>
    <row r="1525" hidden="1">
      <c r="A1525" s="1" t="s">
        <v>70</v>
      </c>
      <c r="B1525" s="1" t="s">
        <v>25</v>
      </c>
      <c r="C1525" s="1" t="s">
        <v>3507</v>
      </c>
      <c r="D1525" s="1" t="str">
        <f>Vlookup(C1525,'Oil &amp; Gas Documents - Canada'!F:M,2,FALSE)</f>
        <v>#N/A</v>
      </c>
      <c r="E1525" s="1" t="str">
        <f>Vlookup(C1525,'Oil &amp; Gas Documents - Canada'!F:N,9,FALSE)</f>
        <v>#N/A</v>
      </c>
      <c r="F1525" s="1" t="s">
        <v>3508</v>
      </c>
      <c r="G1525" s="4" t="str">
        <f>HYPERLINK("http://nimonikapp.com/legislations/193101","http://nimonikapp.com/legislations/193101")</f>
        <v>http://nimonikapp.com/legislations/193101</v>
      </c>
      <c r="H1525" s="1" t="s">
        <v>356</v>
      </c>
      <c r="I1525" s="1" t="s">
        <v>4385</v>
      </c>
      <c r="J1525" s="1" t="s">
        <v>4144</v>
      </c>
      <c r="K1525" s="5">
        <v>44604.0</v>
      </c>
      <c r="L1525" s="5">
        <v>44592.0</v>
      </c>
      <c r="M1525" s="5">
        <v>44593.0</v>
      </c>
      <c r="N1525" s="1" t="s">
        <v>3506</v>
      </c>
    </row>
    <row r="1526" hidden="1">
      <c r="A1526" s="1" t="s">
        <v>70</v>
      </c>
      <c r="B1526" s="1" t="s">
        <v>25</v>
      </c>
      <c r="C1526" s="1" t="s">
        <v>4386</v>
      </c>
      <c r="D1526" s="1" t="str">
        <f>Vlookup(C1526,'Oil &amp; Gas Documents - Canada'!F:M,2,FALSE)</f>
        <v>#N/A</v>
      </c>
      <c r="E1526" s="1" t="str">
        <f>Vlookup(C1526,'Oil &amp; Gas Documents - Canada'!F:N,9,FALSE)</f>
        <v>#N/A</v>
      </c>
      <c r="F1526" s="1" t="s">
        <v>4387</v>
      </c>
      <c r="G1526" s="4" t="str">
        <f>HYPERLINK("http://nimonikapp.com/legislations/1302","http://nimonikapp.com/legislations/1302")</f>
        <v>http://nimonikapp.com/legislations/1302</v>
      </c>
      <c r="H1526" s="1" t="s">
        <v>18</v>
      </c>
      <c r="I1526" s="1" t="s">
        <v>4388</v>
      </c>
      <c r="J1526" s="1" t="s">
        <v>4389</v>
      </c>
      <c r="K1526" s="5">
        <v>44604.0</v>
      </c>
      <c r="L1526" s="5">
        <v>44588.0</v>
      </c>
      <c r="M1526" s="5">
        <v>44593.0</v>
      </c>
      <c r="N1526" s="1" t="s">
        <v>4390</v>
      </c>
    </row>
    <row r="1527" hidden="1">
      <c r="A1527" s="1" t="s">
        <v>70</v>
      </c>
      <c r="B1527" s="1" t="s">
        <v>25</v>
      </c>
      <c r="C1527" s="1" t="s">
        <v>3343</v>
      </c>
      <c r="D1527" s="1" t="str">
        <f>Vlookup(C1527,'Oil &amp; Gas Documents - Canada'!F:M,2,FALSE)</f>
        <v>#N/A</v>
      </c>
      <c r="E1527" s="1" t="str">
        <f>Vlookup(C1527,'Oil &amp; Gas Documents - Canada'!F:N,9,FALSE)</f>
        <v>#N/A</v>
      </c>
      <c r="F1527" s="1" t="s">
        <v>3344</v>
      </c>
      <c r="G1527" s="4" t="str">
        <f>HYPERLINK("http://nimonikapp.com/legislations/113714","http://nimonikapp.com/legislations/113714")</f>
        <v>http://nimonikapp.com/legislations/113714</v>
      </c>
      <c r="H1527" s="1" t="s">
        <v>18</v>
      </c>
      <c r="I1527" s="1" t="s">
        <v>4391</v>
      </c>
      <c r="J1527" s="1" t="s">
        <v>3346</v>
      </c>
      <c r="K1527" s="5">
        <v>44611.0</v>
      </c>
      <c r="L1527" s="5">
        <v>44743.0</v>
      </c>
      <c r="M1527" s="5">
        <v>44593.0</v>
      </c>
    </row>
    <row r="1528" hidden="1">
      <c r="A1528" s="1" t="s">
        <v>24</v>
      </c>
      <c r="B1528" s="1" t="s">
        <v>15</v>
      </c>
      <c r="C1528" s="1" t="s">
        <v>4392</v>
      </c>
      <c r="D1528" s="1" t="str">
        <f>Vlookup(C1528,'Oil &amp; Gas Documents - Canada'!F:M,2,FALSE)</f>
        <v>#N/A</v>
      </c>
      <c r="E1528" s="1" t="str">
        <f>Vlookup(C1528,'Oil &amp; Gas Documents - Canada'!F:N,9,FALSE)</f>
        <v>#N/A</v>
      </c>
      <c r="F1528" s="1" t="s">
        <v>4393</v>
      </c>
      <c r="G1528" s="4" t="str">
        <f>HYPERLINK("http://nimonikapp.com/legislations/322077","http://nimonikapp.com/legislations/322077")</f>
        <v>http://nimonikapp.com/legislations/322077</v>
      </c>
      <c r="H1528" s="1" t="s">
        <v>516</v>
      </c>
      <c r="K1528" s="5">
        <v>44586.0</v>
      </c>
      <c r="M1528" s="5">
        <v>44589.0</v>
      </c>
    </row>
    <row r="1529" hidden="1">
      <c r="A1529" s="1" t="s">
        <v>24</v>
      </c>
      <c r="B1529" s="1" t="s">
        <v>15</v>
      </c>
      <c r="C1529" s="1" t="s">
        <v>4394</v>
      </c>
      <c r="D1529" s="1" t="str">
        <f>Vlookup(C1529,'Oil &amp; Gas Documents - Canada'!F:M,2,FALSE)</f>
        <v>#N/A</v>
      </c>
      <c r="E1529" s="1" t="str">
        <f>Vlookup(C1529,'Oil &amp; Gas Documents - Canada'!F:N,9,FALSE)</f>
        <v>#N/A</v>
      </c>
      <c r="F1529" s="1" t="s">
        <v>4395</v>
      </c>
      <c r="G1529" s="4" t="str">
        <f>HYPERLINK("http://nimonikapp.com/legislations/322063","http://nimonikapp.com/legislations/322063")</f>
        <v>http://nimonikapp.com/legislations/322063</v>
      </c>
      <c r="H1529" s="1" t="s">
        <v>516</v>
      </c>
      <c r="K1529" s="5">
        <v>44588.0</v>
      </c>
      <c r="M1529" s="5">
        <v>44589.0</v>
      </c>
    </row>
    <row r="1530" hidden="1">
      <c r="A1530" s="1" t="s">
        <v>202</v>
      </c>
      <c r="B1530" s="1" t="s">
        <v>25</v>
      </c>
      <c r="C1530" s="1" t="s">
        <v>3747</v>
      </c>
      <c r="D1530" s="1" t="str">
        <f>Vlookup(C1530,'Oil &amp; Gas Documents - Canada'!F:M,2,FALSE)</f>
        <v>#N/A</v>
      </c>
      <c r="E1530" s="1" t="str">
        <f>Vlookup(C1530,'Oil &amp; Gas Documents - Canada'!F:N,9,FALSE)</f>
        <v>#N/A</v>
      </c>
      <c r="F1530" s="1" t="s">
        <v>1410</v>
      </c>
      <c r="G1530" s="4" t="str">
        <f>HYPERLINK("http://nimonikapp.com/legislations/320540","http://nimonikapp.com/legislations/320540")</f>
        <v>http://nimonikapp.com/legislations/320540</v>
      </c>
      <c r="H1530" s="1" t="s">
        <v>356</v>
      </c>
      <c r="I1530" s="1" t="s">
        <v>4396</v>
      </c>
      <c r="J1530" s="1" t="s">
        <v>1410</v>
      </c>
      <c r="K1530" s="5">
        <v>44588.0</v>
      </c>
      <c r="L1530" s="5">
        <v>44584.0</v>
      </c>
      <c r="M1530" s="5">
        <v>44589.0</v>
      </c>
      <c r="N1530" s="1" t="s">
        <v>3748</v>
      </c>
    </row>
    <row r="1531" hidden="1">
      <c r="A1531" s="1" t="s">
        <v>202</v>
      </c>
      <c r="B1531" s="1" t="s">
        <v>25</v>
      </c>
      <c r="C1531" s="1" t="s">
        <v>3749</v>
      </c>
      <c r="D1531" s="1" t="str">
        <f>Vlookup(C1531,'Oil &amp; Gas Documents - Canada'!F:M,2,FALSE)</f>
        <v>#N/A</v>
      </c>
      <c r="E1531" s="1" t="str">
        <f>Vlookup(C1531,'Oil &amp; Gas Documents - Canada'!F:N,9,FALSE)</f>
        <v>#N/A</v>
      </c>
      <c r="F1531" s="1" t="s">
        <v>1410</v>
      </c>
      <c r="G1531" s="4" t="str">
        <f>HYPERLINK("http://nimonikapp.com/legislations/318991","http://nimonikapp.com/legislations/318991")</f>
        <v>http://nimonikapp.com/legislations/318991</v>
      </c>
      <c r="H1531" s="1" t="s">
        <v>356</v>
      </c>
      <c r="I1531" s="1" t="s">
        <v>4396</v>
      </c>
      <c r="J1531" s="1" t="s">
        <v>1410</v>
      </c>
      <c r="K1531" s="5">
        <v>44588.0</v>
      </c>
      <c r="L1531" s="5">
        <v>44584.0</v>
      </c>
      <c r="M1531" s="5">
        <v>44589.0</v>
      </c>
      <c r="N1531" s="1" t="s">
        <v>3748</v>
      </c>
    </row>
    <row r="1532" hidden="1">
      <c r="A1532" s="1" t="s">
        <v>202</v>
      </c>
      <c r="B1532" s="1" t="s">
        <v>25</v>
      </c>
      <c r="C1532" s="1" t="s">
        <v>3751</v>
      </c>
      <c r="D1532" s="1" t="str">
        <f>Vlookup(C1532,'Oil &amp; Gas Documents - Canada'!F:M,2,FALSE)</f>
        <v>#N/A</v>
      </c>
      <c r="E1532" s="1" t="str">
        <f>Vlookup(C1532,'Oil &amp; Gas Documents - Canada'!F:N,9,FALSE)</f>
        <v>#N/A</v>
      </c>
      <c r="F1532" s="1" t="s">
        <v>1410</v>
      </c>
      <c r="G1532" s="4" t="str">
        <f>HYPERLINK("http://nimonikapp.com/legislations/287639","http://nimonikapp.com/legislations/287639")</f>
        <v>http://nimonikapp.com/legislations/287639</v>
      </c>
      <c r="H1532" s="1" t="s">
        <v>356</v>
      </c>
      <c r="I1532" s="1" t="s">
        <v>4396</v>
      </c>
      <c r="J1532" s="1" t="s">
        <v>1410</v>
      </c>
      <c r="K1532" s="5">
        <v>44588.0</v>
      </c>
      <c r="L1532" s="5">
        <v>44584.0</v>
      </c>
      <c r="M1532" s="5">
        <v>44589.0</v>
      </c>
      <c r="N1532" s="1" t="s">
        <v>3748</v>
      </c>
    </row>
    <row r="1533" hidden="1">
      <c r="A1533" s="1" t="s">
        <v>202</v>
      </c>
      <c r="B1533" s="1" t="s">
        <v>25</v>
      </c>
      <c r="C1533" s="1" t="s">
        <v>3752</v>
      </c>
      <c r="D1533" s="1" t="str">
        <f>Vlookup(C1533,'Oil &amp; Gas Documents - Canada'!F:M,2,FALSE)</f>
        <v>#N/A</v>
      </c>
      <c r="E1533" s="1" t="str">
        <f>Vlookup(C1533,'Oil &amp; Gas Documents - Canada'!F:N,9,FALSE)</f>
        <v>#N/A</v>
      </c>
      <c r="F1533" s="1" t="s">
        <v>3753</v>
      </c>
      <c r="G1533" s="4" t="str">
        <f>HYPERLINK("http://nimonikapp.com/legislations/158472","http://nimonikapp.com/legislations/158472")</f>
        <v>http://nimonikapp.com/legislations/158472</v>
      </c>
      <c r="H1533" s="1" t="s">
        <v>356</v>
      </c>
      <c r="I1533" s="1" t="s">
        <v>4396</v>
      </c>
      <c r="J1533" s="1" t="s">
        <v>1410</v>
      </c>
      <c r="K1533" s="5">
        <v>44588.0</v>
      </c>
      <c r="L1533" s="5">
        <v>44584.0</v>
      </c>
      <c r="M1533" s="5">
        <v>44589.0</v>
      </c>
      <c r="N1533" s="1" t="s">
        <v>3748</v>
      </c>
    </row>
    <row r="1534" hidden="1">
      <c r="A1534" s="1" t="s">
        <v>202</v>
      </c>
      <c r="B1534" s="1" t="s">
        <v>15</v>
      </c>
      <c r="C1534" s="1" t="s">
        <v>4397</v>
      </c>
      <c r="D1534" s="1" t="str">
        <f>Vlookup(C1534,'Oil &amp; Gas Documents - Canada'!F:M,2,FALSE)</f>
        <v>#N/A</v>
      </c>
      <c r="E1534" s="1" t="str">
        <f>Vlookup(C1534,'Oil &amp; Gas Documents - Canada'!F:N,9,FALSE)</f>
        <v>#N/A</v>
      </c>
      <c r="F1534" s="1" t="s">
        <v>4398</v>
      </c>
      <c r="G1534" s="4" t="str">
        <f>HYPERLINK("http://nimonikapp.com/legislations/321183","http://nimonikapp.com/legislations/321183")</f>
        <v>http://nimonikapp.com/legislations/321183</v>
      </c>
      <c r="H1534" s="1" t="s">
        <v>516</v>
      </c>
      <c r="K1534" s="5">
        <v>44587.0</v>
      </c>
      <c r="M1534" s="5">
        <v>44588.0</v>
      </c>
    </row>
    <row r="1535" hidden="1">
      <c r="A1535" s="1" t="s">
        <v>202</v>
      </c>
      <c r="B1535" s="1" t="s">
        <v>15</v>
      </c>
      <c r="C1535" s="1" t="s">
        <v>4399</v>
      </c>
      <c r="D1535" s="1" t="str">
        <f>Vlookup(C1535,'Oil &amp; Gas Documents - Canada'!F:M,2,FALSE)</f>
        <v>#N/A</v>
      </c>
      <c r="E1535" s="1" t="str">
        <f>Vlookup(C1535,'Oil &amp; Gas Documents - Canada'!F:N,9,FALSE)</f>
        <v>#N/A</v>
      </c>
      <c r="F1535" s="1" t="s">
        <v>4400</v>
      </c>
      <c r="G1535" s="4" t="str">
        <f>HYPERLINK("http://nimonikapp.com/legislations/321181","http://nimonikapp.com/legislations/321181")</f>
        <v>http://nimonikapp.com/legislations/321181</v>
      </c>
      <c r="H1535" s="1" t="s">
        <v>516</v>
      </c>
      <c r="K1535" s="5">
        <v>44587.0</v>
      </c>
      <c r="M1535" s="5">
        <v>44588.0</v>
      </c>
    </row>
    <row r="1536" hidden="1">
      <c r="A1536" s="1" t="s">
        <v>202</v>
      </c>
      <c r="B1536" s="1" t="s">
        <v>25</v>
      </c>
      <c r="C1536" s="1" t="s">
        <v>3638</v>
      </c>
      <c r="D1536" s="1" t="str">
        <f>Vlookup(C1536,'Oil &amp; Gas Documents - Canada'!F:M,2,FALSE)</f>
        <v>#N/A</v>
      </c>
      <c r="E1536" s="1" t="str">
        <f>Vlookup(C1536,'Oil &amp; Gas Documents - Canada'!F:N,9,FALSE)</f>
        <v>#N/A</v>
      </c>
      <c r="F1536" s="1" t="s">
        <v>3639</v>
      </c>
      <c r="G1536" s="4" t="str">
        <f>HYPERLINK("http://nimonikapp.com/legislations/1091","http://nimonikapp.com/legislations/1091")</f>
        <v>http://nimonikapp.com/legislations/1091</v>
      </c>
      <c r="H1536" s="1" t="s">
        <v>18</v>
      </c>
      <c r="I1536" s="1" t="s">
        <v>4401</v>
      </c>
      <c r="J1536" s="1" t="s">
        <v>3641</v>
      </c>
      <c r="K1536" s="5">
        <v>44587.0</v>
      </c>
      <c r="L1536" s="5">
        <v>44602.0</v>
      </c>
      <c r="M1536" s="5">
        <v>44588.0</v>
      </c>
      <c r="N1536" s="1" t="s">
        <v>3642</v>
      </c>
    </row>
    <row r="1537" hidden="1">
      <c r="A1537" s="1" t="s">
        <v>202</v>
      </c>
      <c r="B1537" s="1" t="s">
        <v>25</v>
      </c>
      <c r="C1537" s="1" t="s">
        <v>3633</v>
      </c>
      <c r="D1537" s="1" t="str">
        <f>Vlookup(C1537,'Oil &amp; Gas Documents - Canada'!F:M,2,FALSE)</f>
        <v>#N/A</v>
      </c>
      <c r="E1537" s="1" t="str">
        <f>Vlookup(C1537,'Oil &amp; Gas Documents - Canada'!F:N,9,FALSE)</f>
        <v>#N/A</v>
      </c>
      <c r="F1537" s="1" t="s">
        <v>3634</v>
      </c>
      <c r="G1537" s="4" t="str">
        <f>HYPERLINK("http://nimonikapp.com/legislations/1097","http://nimonikapp.com/legislations/1097")</f>
        <v>http://nimonikapp.com/legislations/1097</v>
      </c>
      <c r="H1537" s="1" t="s">
        <v>18</v>
      </c>
      <c r="I1537" s="1" t="s">
        <v>4402</v>
      </c>
      <c r="J1537" s="1" t="s">
        <v>3636</v>
      </c>
      <c r="K1537" s="5">
        <v>44587.0</v>
      </c>
      <c r="L1537" s="5">
        <v>44602.0</v>
      </c>
      <c r="M1537" s="5">
        <v>44588.0</v>
      </c>
      <c r="N1537" s="1" t="s">
        <v>3637</v>
      </c>
    </row>
    <row r="1538" hidden="1">
      <c r="A1538" s="1" t="s">
        <v>202</v>
      </c>
      <c r="B1538" s="1" t="s">
        <v>25</v>
      </c>
      <c r="C1538" s="1" t="s">
        <v>4403</v>
      </c>
      <c r="D1538" s="1" t="str">
        <f>Vlookup(C1538,'Oil &amp; Gas Documents - Canada'!F:M,2,FALSE)</f>
        <v>#N/A</v>
      </c>
      <c r="E1538" s="1" t="str">
        <f>Vlookup(C1538,'Oil &amp; Gas Documents - Canada'!F:N,9,FALSE)</f>
        <v>#N/A</v>
      </c>
      <c r="F1538" s="1" t="s">
        <v>4404</v>
      </c>
      <c r="G1538" s="4" t="str">
        <f>HYPERLINK("http://nimonikapp.com/legislations/281174","http://nimonikapp.com/legislations/281174")</f>
        <v>http://nimonikapp.com/legislations/281174</v>
      </c>
      <c r="H1538" s="1" t="s">
        <v>18</v>
      </c>
      <c r="I1538" s="1" t="s">
        <v>4405</v>
      </c>
      <c r="J1538" s="1" t="s">
        <v>4406</v>
      </c>
      <c r="K1538" s="5">
        <v>44538.0</v>
      </c>
      <c r="L1538" s="5">
        <v>44538.0</v>
      </c>
      <c r="M1538" s="5">
        <v>44588.0</v>
      </c>
      <c r="N1538" s="1" t="s">
        <v>4407</v>
      </c>
    </row>
    <row r="1539" hidden="1">
      <c r="A1539" s="1" t="s">
        <v>70</v>
      </c>
      <c r="B1539" s="1" t="s">
        <v>15</v>
      </c>
      <c r="C1539" s="1" t="s">
        <v>4408</v>
      </c>
      <c r="D1539" s="1" t="str">
        <f>Vlookup(C1539,'Oil &amp; Gas Documents - Canada'!F:M,2,FALSE)</f>
        <v>#N/A</v>
      </c>
      <c r="E1539" s="1" t="str">
        <f>Vlookup(C1539,'Oil &amp; Gas Documents - Canada'!F:N,9,FALSE)</f>
        <v>#N/A</v>
      </c>
      <c r="F1539" s="1" t="s">
        <v>4409</v>
      </c>
      <c r="G1539" s="4" t="str">
        <f>HYPERLINK("http://nimonikapp.com/legislations/320833","http://nimonikapp.com/legislations/320833")</f>
        <v>http://nimonikapp.com/legislations/320833</v>
      </c>
      <c r="H1539" s="1" t="s">
        <v>516</v>
      </c>
      <c r="K1539" s="5">
        <v>44581.0</v>
      </c>
      <c r="M1539" s="5">
        <v>44586.0</v>
      </c>
    </row>
    <row r="1540" hidden="1">
      <c r="A1540" s="1" t="s">
        <v>70</v>
      </c>
      <c r="B1540" s="1" t="s">
        <v>15</v>
      </c>
      <c r="C1540" s="1" t="s">
        <v>4410</v>
      </c>
      <c r="D1540" s="1" t="str">
        <f>Vlookup(C1540,'Oil &amp; Gas Documents - Canada'!F:M,2,FALSE)</f>
        <v>#N/A</v>
      </c>
      <c r="E1540" s="1" t="str">
        <f>Vlookup(C1540,'Oil &amp; Gas Documents - Canada'!F:N,9,FALSE)</f>
        <v>#N/A</v>
      </c>
      <c r="F1540" s="1" t="s">
        <v>4411</v>
      </c>
      <c r="G1540" s="4" t="str">
        <f>HYPERLINK("http://nimonikapp.com/legislations/320799","http://nimonikapp.com/legislations/320799")</f>
        <v>http://nimonikapp.com/legislations/320799</v>
      </c>
      <c r="H1540" s="1" t="s">
        <v>516</v>
      </c>
      <c r="K1540" s="5">
        <v>44582.0</v>
      </c>
      <c r="M1540" s="5">
        <v>44586.0</v>
      </c>
    </row>
    <row r="1541" hidden="1">
      <c r="A1541" s="1" t="s">
        <v>73</v>
      </c>
      <c r="B1541" s="1" t="s">
        <v>15</v>
      </c>
      <c r="C1541" s="1" t="s">
        <v>4412</v>
      </c>
      <c r="D1541" s="1" t="str">
        <f>Vlookup(C1541,'Oil &amp; Gas Documents - Canada'!F:M,2,FALSE)</f>
        <v>#N/A</v>
      </c>
      <c r="E1541" s="1" t="str">
        <f>Vlookup(C1541,'Oil &amp; Gas Documents - Canada'!F:N,9,FALSE)</f>
        <v>#N/A</v>
      </c>
      <c r="F1541" s="1" t="s">
        <v>4413</v>
      </c>
      <c r="G1541" s="4" t="str">
        <f>HYPERLINK("http://nimonikapp.com/legislations/320821","http://nimonikapp.com/legislations/320821")</f>
        <v>http://nimonikapp.com/legislations/320821</v>
      </c>
      <c r="H1541" s="1" t="s">
        <v>18</v>
      </c>
      <c r="K1541" s="5">
        <v>44583.0</v>
      </c>
      <c r="L1541" s="5">
        <v>44673.0</v>
      </c>
      <c r="M1541" s="5">
        <v>44586.0</v>
      </c>
    </row>
    <row r="1542" hidden="1">
      <c r="A1542" s="1" t="s">
        <v>73</v>
      </c>
      <c r="B1542" s="1" t="s">
        <v>15</v>
      </c>
      <c r="C1542" s="1" t="s">
        <v>4414</v>
      </c>
      <c r="D1542" s="1" t="str">
        <f>Vlookup(C1542,'Oil &amp; Gas Documents - Canada'!F:M,2,FALSE)</f>
        <v>#N/A</v>
      </c>
      <c r="E1542" s="1" t="str">
        <f>Vlookup(C1542,'Oil &amp; Gas Documents - Canada'!F:N,9,FALSE)</f>
        <v>#N/A</v>
      </c>
      <c r="F1542" s="1" t="s">
        <v>4415</v>
      </c>
      <c r="G1542" s="4" t="str">
        <f>HYPERLINK("http://nimonikapp.com/legislations/320819","http://nimonikapp.com/legislations/320819")</f>
        <v>http://nimonikapp.com/legislations/320819</v>
      </c>
      <c r="H1542" s="1" t="s">
        <v>18</v>
      </c>
      <c r="K1542" s="5">
        <v>44583.0</v>
      </c>
      <c r="L1542" s="5">
        <v>44583.0</v>
      </c>
      <c r="M1542" s="5">
        <v>44586.0</v>
      </c>
    </row>
    <row r="1543" hidden="1">
      <c r="A1543" s="1" t="s">
        <v>73</v>
      </c>
      <c r="B1543" s="1" t="s">
        <v>25</v>
      </c>
      <c r="C1543" s="1" t="s">
        <v>1762</v>
      </c>
      <c r="D1543" s="1" t="str">
        <f>Vlookup(C1543,'Oil &amp; Gas Documents - Canada'!F:M,2,FALSE)</f>
        <v>#N/A</v>
      </c>
      <c r="E1543" s="1" t="str">
        <f>Vlookup(C1543,'Oil &amp; Gas Documents - Canada'!F:N,9,FALSE)</f>
        <v>#N/A</v>
      </c>
      <c r="F1543" s="1" t="s">
        <v>1763</v>
      </c>
      <c r="G1543" s="4" t="str">
        <f>HYPERLINK("http://nimonikapp.com/legislations/6187","http://nimonikapp.com/legislations/6187")</f>
        <v>http://nimonikapp.com/legislations/6187</v>
      </c>
      <c r="H1543" s="1" t="s">
        <v>18</v>
      </c>
      <c r="I1543" s="1" t="s">
        <v>4416</v>
      </c>
      <c r="J1543" s="1" t="s">
        <v>4417</v>
      </c>
      <c r="K1543" s="5">
        <v>44583.0</v>
      </c>
      <c r="L1543" s="5">
        <v>44582.0</v>
      </c>
      <c r="M1543" s="5">
        <v>44586.0</v>
      </c>
      <c r="N1543" s="1" t="s">
        <v>1766</v>
      </c>
    </row>
    <row r="1544" hidden="1">
      <c r="A1544" s="1" t="s">
        <v>70</v>
      </c>
      <c r="B1544" s="1" t="s">
        <v>25</v>
      </c>
      <c r="C1544" s="1" t="s">
        <v>4027</v>
      </c>
      <c r="D1544" s="1" t="str">
        <f>Vlookup(C1544,'Oil &amp; Gas Documents - Canada'!F:M,2,FALSE)</f>
        <v>#N/A</v>
      </c>
      <c r="E1544" s="1" t="str">
        <f>Vlookup(C1544,'Oil &amp; Gas Documents - Canada'!F:N,9,FALSE)</f>
        <v>#N/A</v>
      </c>
      <c r="F1544" s="1" t="s">
        <v>4028</v>
      </c>
      <c r="G1544" s="4" t="str">
        <f>HYPERLINK("http://nimonikapp.com/legislations/161255","http://nimonikapp.com/legislations/161255")</f>
        <v>http://nimonikapp.com/legislations/161255</v>
      </c>
      <c r="H1544" s="1" t="s">
        <v>356</v>
      </c>
      <c r="I1544" s="1" t="s">
        <v>4418</v>
      </c>
      <c r="J1544" s="1" t="s">
        <v>4419</v>
      </c>
      <c r="K1544" s="5">
        <v>44597.0</v>
      </c>
      <c r="L1544" s="5">
        <v>44579.0</v>
      </c>
      <c r="M1544" s="5">
        <v>44586.0</v>
      </c>
      <c r="N1544" s="1" t="s">
        <v>4030</v>
      </c>
    </row>
    <row r="1545" hidden="1">
      <c r="A1545" s="1" t="s">
        <v>24</v>
      </c>
      <c r="B1545" s="1" t="s">
        <v>25</v>
      </c>
      <c r="C1545" s="1" t="s">
        <v>4420</v>
      </c>
      <c r="D1545" s="1" t="str">
        <f>Vlookup(C1545,'Oil &amp; Gas Documents - Canada'!F:M,2,FALSE)</f>
        <v>#N/A</v>
      </c>
      <c r="E1545" s="1" t="str">
        <f>Vlookup(C1545,'Oil &amp; Gas Documents - Canada'!F:N,9,FALSE)</f>
        <v>#N/A</v>
      </c>
      <c r="F1545" s="1" t="s">
        <v>4421</v>
      </c>
      <c r="G1545" s="4" t="str">
        <f>HYPERLINK("http://nimonikapp.com/legislations/122780","http://nimonikapp.com/legislations/122780")</f>
        <v>http://nimonikapp.com/legislations/122780</v>
      </c>
      <c r="H1545" s="1" t="s">
        <v>18</v>
      </c>
      <c r="I1545" s="1" t="s">
        <v>4422</v>
      </c>
      <c r="J1545" s="1" t="s">
        <v>4423</v>
      </c>
      <c r="K1545" s="5">
        <v>44579.0</v>
      </c>
      <c r="L1545" s="5">
        <v>44578.0</v>
      </c>
      <c r="M1545" s="5">
        <v>44582.0</v>
      </c>
    </row>
    <row r="1546" hidden="1">
      <c r="A1546" s="1" t="s">
        <v>202</v>
      </c>
      <c r="B1546" s="1" t="s">
        <v>25</v>
      </c>
      <c r="C1546" s="1" t="s">
        <v>1659</v>
      </c>
      <c r="D1546" s="1" t="str">
        <f>Vlookup(C1546,'Oil &amp; Gas Documents - Canada'!F:M,2,FALSE)</f>
        <v>#N/A</v>
      </c>
      <c r="E1546" s="1" t="str">
        <f>Vlookup(C1546,'Oil &amp; Gas Documents - Canada'!F:N,9,FALSE)</f>
        <v>#N/A</v>
      </c>
      <c r="F1546" s="1" t="s">
        <v>1660</v>
      </c>
      <c r="G1546" s="4" t="str">
        <f>HYPERLINK("http://nimonikapp.com/legislations/268529","http://nimonikapp.com/legislations/268529")</f>
        <v>http://nimonikapp.com/legislations/268529</v>
      </c>
      <c r="H1546" s="1" t="s">
        <v>18</v>
      </c>
      <c r="I1546" s="1" t="s">
        <v>4424</v>
      </c>
      <c r="J1546" s="1" t="s">
        <v>4425</v>
      </c>
      <c r="K1546" s="5">
        <v>44505.0</v>
      </c>
      <c r="L1546" s="5">
        <v>44505.0</v>
      </c>
      <c r="M1546" s="5">
        <v>44581.0</v>
      </c>
      <c r="N1546" s="1" t="s">
        <v>1661</v>
      </c>
    </row>
    <row r="1547" hidden="1">
      <c r="A1547" s="1" t="s">
        <v>202</v>
      </c>
      <c r="B1547" s="1" t="s">
        <v>25</v>
      </c>
      <c r="C1547" s="1" t="s">
        <v>2053</v>
      </c>
      <c r="D1547" s="1" t="str">
        <f>Vlookup(C1547,'Oil &amp; Gas Documents - Canada'!F:M,2,FALSE)</f>
        <v>#N/A</v>
      </c>
      <c r="E1547" s="1" t="str">
        <f>Vlookup(C1547,'Oil &amp; Gas Documents - Canada'!F:N,9,FALSE)</f>
        <v>#N/A</v>
      </c>
      <c r="F1547" s="1" t="s">
        <v>2054</v>
      </c>
      <c r="G1547" s="4" t="str">
        <f>HYPERLINK("http://nimonikapp.com/legislations/16","http://nimonikapp.com/legislations/16")</f>
        <v>http://nimonikapp.com/legislations/16</v>
      </c>
      <c r="H1547" s="1" t="s">
        <v>18</v>
      </c>
      <c r="I1547" s="1" t="s">
        <v>4424</v>
      </c>
      <c r="J1547" s="1" t="s">
        <v>4425</v>
      </c>
      <c r="K1547" s="5">
        <v>44505.0</v>
      </c>
      <c r="L1547" s="5">
        <v>44505.0</v>
      </c>
      <c r="M1547" s="5">
        <v>44581.0</v>
      </c>
      <c r="N1547" s="1" t="s">
        <v>2057</v>
      </c>
    </row>
    <row r="1548" hidden="1">
      <c r="A1548" s="1" t="s">
        <v>202</v>
      </c>
      <c r="B1548" s="1" t="s">
        <v>25</v>
      </c>
      <c r="C1548" s="1" t="s">
        <v>3920</v>
      </c>
      <c r="D1548" s="1" t="str">
        <f>Vlookup(C1548,'Oil &amp; Gas Documents - Canada'!F:M,2,FALSE)</f>
        <v>#N/A</v>
      </c>
      <c r="E1548" s="1" t="str">
        <f>Vlookup(C1548,'Oil &amp; Gas Documents - Canada'!F:N,9,FALSE)</f>
        <v>#N/A</v>
      </c>
      <c r="F1548" s="1" t="s">
        <v>3921</v>
      </c>
      <c r="G1548" s="4" t="str">
        <f>HYPERLINK("http://nimonikapp.com/legislations/3838","http://nimonikapp.com/legislations/3838")</f>
        <v>http://nimonikapp.com/legislations/3838</v>
      </c>
      <c r="H1548" s="1" t="s">
        <v>18</v>
      </c>
      <c r="I1548" s="1" t="s">
        <v>4424</v>
      </c>
      <c r="J1548" s="1" t="s">
        <v>4425</v>
      </c>
      <c r="K1548" s="5">
        <v>44505.0</v>
      </c>
      <c r="L1548" s="5">
        <v>44505.0</v>
      </c>
      <c r="M1548" s="5">
        <v>44581.0</v>
      </c>
    </row>
    <row r="1549" hidden="1">
      <c r="A1549" s="1" t="s">
        <v>202</v>
      </c>
      <c r="B1549" s="1" t="s">
        <v>25</v>
      </c>
      <c r="C1549" s="1" t="s">
        <v>4426</v>
      </c>
      <c r="D1549" s="1" t="str">
        <f>Vlookup(C1549,'Oil &amp; Gas Documents - Canada'!F:M,2,FALSE)</f>
        <v>#N/A</v>
      </c>
      <c r="E1549" s="1" t="str">
        <f>Vlookup(C1549,'Oil &amp; Gas Documents - Canada'!F:N,9,FALSE)</f>
        <v>#N/A</v>
      </c>
      <c r="F1549" s="1" t="s">
        <v>4427</v>
      </c>
      <c r="G1549" s="4" t="str">
        <f>HYPERLINK("http://nimonikapp.com/legislations/281567","http://nimonikapp.com/legislations/281567")</f>
        <v>http://nimonikapp.com/legislations/281567</v>
      </c>
      <c r="H1549" s="1" t="s">
        <v>18</v>
      </c>
      <c r="I1549" s="1" t="s">
        <v>4424</v>
      </c>
      <c r="J1549" s="1" t="s">
        <v>4425</v>
      </c>
      <c r="K1549" s="5">
        <v>44505.0</v>
      </c>
      <c r="L1549" s="5">
        <v>44505.0</v>
      </c>
      <c r="M1549" s="5">
        <v>44581.0</v>
      </c>
    </row>
    <row r="1550" hidden="1">
      <c r="A1550" s="1" t="s">
        <v>202</v>
      </c>
      <c r="B1550" s="1" t="s">
        <v>25</v>
      </c>
      <c r="C1550" s="1" t="s">
        <v>4428</v>
      </c>
      <c r="D1550" s="1" t="str">
        <f>Vlookup(C1550,'Oil &amp; Gas Documents - Canada'!F:M,2,FALSE)</f>
        <v>#N/A</v>
      </c>
      <c r="E1550" s="1" t="str">
        <f>Vlookup(C1550,'Oil &amp; Gas Documents - Canada'!F:N,9,FALSE)</f>
        <v>#N/A</v>
      </c>
      <c r="F1550" s="1" t="s">
        <v>4429</v>
      </c>
      <c r="G1550" s="4" t="str">
        <f>HYPERLINK("http://nimonikapp.com/legislations/918","http://nimonikapp.com/legislations/918")</f>
        <v>http://nimonikapp.com/legislations/918</v>
      </c>
      <c r="H1550" s="1" t="s">
        <v>18</v>
      </c>
      <c r="I1550" s="1" t="s">
        <v>4424</v>
      </c>
      <c r="J1550" s="1" t="s">
        <v>4425</v>
      </c>
      <c r="K1550" s="5">
        <v>44505.0</v>
      </c>
      <c r="L1550" s="5">
        <v>44505.0</v>
      </c>
      <c r="M1550" s="5">
        <v>44581.0</v>
      </c>
    </row>
    <row r="1551" hidden="1">
      <c r="A1551" s="1" t="s">
        <v>202</v>
      </c>
      <c r="B1551" s="1" t="s">
        <v>25</v>
      </c>
      <c r="C1551" s="1" t="s">
        <v>4430</v>
      </c>
      <c r="D1551" s="1" t="str">
        <f>Vlookup(C1551,'Oil &amp; Gas Documents - Canada'!F:M,2,FALSE)</f>
        <v>#N/A</v>
      </c>
      <c r="E1551" s="1" t="str">
        <f>Vlookup(C1551,'Oil &amp; Gas Documents - Canada'!F:N,9,FALSE)</f>
        <v>#N/A</v>
      </c>
      <c r="F1551" s="1" t="s">
        <v>4431</v>
      </c>
      <c r="G1551" s="4" t="str">
        <f>HYPERLINK("http://nimonikapp.com/legislations/707","http://nimonikapp.com/legislations/707")</f>
        <v>http://nimonikapp.com/legislations/707</v>
      </c>
      <c r="H1551" s="1" t="s">
        <v>18</v>
      </c>
      <c r="I1551" s="1" t="s">
        <v>4424</v>
      </c>
      <c r="J1551" s="1" t="s">
        <v>4425</v>
      </c>
      <c r="K1551" s="5">
        <v>44505.0</v>
      </c>
      <c r="L1551" s="5">
        <v>44505.0</v>
      </c>
      <c r="M1551" s="5">
        <v>44581.0</v>
      </c>
    </row>
    <row r="1552" hidden="1">
      <c r="A1552" s="1" t="s">
        <v>202</v>
      </c>
      <c r="B1552" s="1" t="s">
        <v>25</v>
      </c>
      <c r="C1552" s="1" t="s">
        <v>2154</v>
      </c>
      <c r="D1552" s="1" t="str">
        <f>Vlookup(C1552,'Oil &amp; Gas Documents - Canada'!F:M,2,FALSE)</f>
        <v>#N/A</v>
      </c>
      <c r="E1552" s="1" t="str">
        <f>Vlookup(C1552,'Oil &amp; Gas Documents - Canada'!F:N,9,FALSE)</f>
        <v>#N/A</v>
      </c>
      <c r="F1552" s="1" t="s">
        <v>2155</v>
      </c>
      <c r="G1552" s="4" t="str">
        <f>HYPERLINK("http://nimonikapp.com/legislations/110762","http://nimonikapp.com/legislations/110762")</f>
        <v>http://nimonikapp.com/legislations/110762</v>
      </c>
      <c r="H1552" s="1" t="s">
        <v>18</v>
      </c>
      <c r="I1552" s="1" t="s">
        <v>4424</v>
      </c>
      <c r="J1552" s="1" t="s">
        <v>4425</v>
      </c>
      <c r="K1552" s="5">
        <v>44505.0</v>
      </c>
      <c r="L1552" s="5">
        <v>44505.0</v>
      </c>
      <c r="M1552" s="5">
        <v>44581.0</v>
      </c>
      <c r="N1552" s="1" t="s">
        <v>2158</v>
      </c>
    </row>
    <row r="1553" hidden="1">
      <c r="A1553" s="1" t="s">
        <v>202</v>
      </c>
      <c r="B1553" s="1" t="s">
        <v>25</v>
      </c>
      <c r="C1553" s="1" t="s">
        <v>4432</v>
      </c>
      <c r="D1553" s="1" t="str">
        <f>Vlookup(C1553,'Oil &amp; Gas Documents - Canada'!F:M,2,FALSE)</f>
        <v>#N/A</v>
      </c>
      <c r="E1553" s="1" t="str">
        <f>Vlookup(C1553,'Oil &amp; Gas Documents - Canada'!F:N,9,FALSE)</f>
        <v>#N/A</v>
      </c>
      <c r="F1553" s="1" t="s">
        <v>4433</v>
      </c>
      <c r="G1553" s="4" t="str">
        <f>HYPERLINK("http://nimonikapp.com/legislations/268645","http://nimonikapp.com/legislations/268645")</f>
        <v>http://nimonikapp.com/legislations/268645</v>
      </c>
      <c r="H1553" s="1" t="s">
        <v>18</v>
      </c>
      <c r="I1553" s="1" t="s">
        <v>4424</v>
      </c>
      <c r="J1553" s="1" t="s">
        <v>4425</v>
      </c>
      <c r="K1553" s="5">
        <v>44505.0</v>
      </c>
      <c r="L1553" s="5">
        <v>44505.0</v>
      </c>
      <c r="M1553" s="5">
        <v>44581.0</v>
      </c>
      <c r="N1553" s="1" t="s">
        <v>3091</v>
      </c>
    </row>
    <row r="1554" hidden="1">
      <c r="A1554" s="1" t="s">
        <v>202</v>
      </c>
      <c r="B1554" s="1" t="s">
        <v>25</v>
      </c>
      <c r="C1554" s="1" t="s">
        <v>4434</v>
      </c>
      <c r="D1554" s="1" t="str">
        <f>Vlookup(C1554,'Oil &amp; Gas Documents - Canada'!F:M,2,FALSE)</f>
        <v>#N/A</v>
      </c>
      <c r="E1554" s="1" t="str">
        <f>Vlookup(C1554,'Oil &amp; Gas Documents - Canada'!F:N,9,FALSE)</f>
        <v>#N/A</v>
      </c>
      <c r="F1554" s="1" t="s">
        <v>4435</v>
      </c>
      <c r="G1554" s="4" t="str">
        <f>HYPERLINK("http://nimonikapp.com/legislations/96708","http://nimonikapp.com/legislations/96708")</f>
        <v>http://nimonikapp.com/legislations/96708</v>
      </c>
      <c r="H1554" s="1" t="s">
        <v>18</v>
      </c>
      <c r="I1554" s="1" t="s">
        <v>4424</v>
      </c>
      <c r="J1554" s="1" t="s">
        <v>4425</v>
      </c>
      <c r="K1554" s="5">
        <v>44505.0</v>
      </c>
      <c r="L1554" s="5">
        <v>44505.0</v>
      </c>
      <c r="M1554" s="5">
        <v>44581.0</v>
      </c>
    </row>
    <row r="1555" hidden="1">
      <c r="A1555" s="1" t="s">
        <v>202</v>
      </c>
      <c r="B1555" s="1" t="s">
        <v>25</v>
      </c>
      <c r="C1555" s="1" t="s">
        <v>4436</v>
      </c>
      <c r="D1555" s="1" t="str">
        <f>Vlookup(C1555,'Oil &amp; Gas Documents - Canada'!F:M,2,FALSE)</f>
        <v>#N/A</v>
      </c>
      <c r="E1555" s="1" t="str">
        <f>Vlookup(C1555,'Oil &amp; Gas Documents - Canada'!F:N,9,FALSE)</f>
        <v>#N/A</v>
      </c>
      <c r="F1555" s="1" t="s">
        <v>4437</v>
      </c>
      <c r="G1555" s="4" t="str">
        <f>HYPERLINK("http://nimonikapp.com/legislations/1052","http://nimonikapp.com/legislations/1052")</f>
        <v>http://nimonikapp.com/legislations/1052</v>
      </c>
      <c r="H1555" s="1" t="s">
        <v>18</v>
      </c>
      <c r="I1555" s="1" t="s">
        <v>4424</v>
      </c>
      <c r="J1555" s="1" t="s">
        <v>4425</v>
      </c>
      <c r="K1555" s="5">
        <v>44505.0</v>
      </c>
      <c r="L1555" s="5">
        <v>44505.0</v>
      </c>
      <c r="M1555" s="5">
        <v>44581.0</v>
      </c>
    </row>
    <row r="1556" hidden="1">
      <c r="A1556" s="1" t="s">
        <v>202</v>
      </c>
      <c r="B1556" s="1" t="s">
        <v>25</v>
      </c>
      <c r="C1556" s="1" t="s">
        <v>3038</v>
      </c>
      <c r="D1556" s="1" t="str">
        <f>Vlookup(C1556,'Oil &amp; Gas Documents - Canada'!F:M,2,FALSE)</f>
        <v>#N/A</v>
      </c>
      <c r="E1556" s="1" t="str">
        <f>Vlookup(C1556,'Oil &amp; Gas Documents - Canada'!F:N,9,FALSE)</f>
        <v>#N/A</v>
      </c>
      <c r="F1556" s="1" t="s">
        <v>3039</v>
      </c>
      <c r="G1556" s="4" t="str">
        <f>HYPERLINK("http://nimonikapp.com/legislations/17","http://nimonikapp.com/legislations/17")</f>
        <v>http://nimonikapp.com/legislations/17</v>
      </c>
      <c r="H1556" s="1" t="s">
        <v>18</v>
      </c>
      <c r="I1556" s="1" t="s">
        <v>4424</v>
      </c>
      <c r="J1556" s="1" t="s">
        <v>4425</v>
      </c>
      <c r="K1556" s="5">
        <v>44505.0</v>
      </c>
      <c r="L1556" s="5">
        <v>44505.0</v>
      </c>
      <c r="M1556" s="5">
        <v>44581.0</v>
      </c>
      <c r="N1556" s="1" t="s">
        <v>3040</v>
      </c>
    </row>
    <row r="1557" hidden="1">
      <c r="A1557" s="1" t="s">
        <v>202</v>
      </c>
      <c r="B1557" s="1" t="s">
        <v>25</v>
      </c>
      <c r="C1557" s="1" t="s">
        <v>2113</v>
      </c>
      <c r="D1557" s="1" t="str">
        <f>Vlookup(C1557,'Oil &amp; Gas Documents - Canada'!F:M,2,FALSE)</f>
        <v>#N/A</v>
      </c>
      <c r="E1557" s="1" t="str">
        <f>Vlookup(C1557,'Oil &amp; Gas Documents - Canada'!F:N,9,FALSE)</f>
        <v>#N/A</v>
      </c>
      <c r="F1557" s="1" t="s">
        <v>50</v>
      </c>
      <c r="G1557" s="4" t="str">
        <f>HYPERLINK("http://nimonikapp.com/legislations/15","http://nimonikapp.com/legislations/15")</f>
        <v>http://nimonikapp.com/legislations/15</v>
      </c>
      <c r="H1557" s="1" t="s">
        <v>18</v>
      </c>
      <c r="I1557" s="1" t="s">
        <v>4424</v>
      </c>
      <c r="J1557" s="1" t="s">
        <v>4425</v>
      </c>
      <c r="K1557" s="5">
        <v>44505.0</v>
      </c>
      <c r="L1557" s="5">
        <v>44505.0</v>
      </c>
      <c r="M1557" s="5">
        <v>44581.0</v>
      </c>
    </row>
    <row r="1558" hidden="1">
      <c r="A1558" s="1" t="s">
        <v>202</v>
      </c>
      <c r="B1558" s="1" t="s">
        <v>25</v>
      </c>
      <c r="C1558" s="1" t="s">
        <v>1785</v>
      </c>
      <c r="D1558" s="1" t="str">
        <f>Vlookup(C1558,'Oil &amp; Gas Documents - Canada'!F:M,2,FALSE)</f>
        <v>#N/A</v>
      </c>
      <c r="E1558" s="1" t="str">
        <f>Vlookup(C1558,'Oil &amp; Gas Documents - Canada'!F:N,9,FALSE)</f>
        <v>#N/A</v>
      </c>
      <c r="F1558" s="1" t="s">
        <v>1786</v>
      </c>
      <c r="G1558" s="4" t="str">
        <f>HYPERLINK("http://nimonikapp.com/legislations/120137","http://nimonikapp.com/legislations/120137")</f>
        <v>http://nimonikapp.com/legislations/120137</v>
      </c>
      <c r="H1558" s="1" t="s">
        <v>18</v>
      </c>
      <c r="I1558" s="1" t="s">
        <v>4424</v>
      </c>
      <c r="J1558" s="1" t="s">
        <v>4425</v>
      </c>
      <c r="K1558" s="5">
        <v>44505.0</v>
      </c>
      <c r="L1558" s="5">
        <v>44505.0</v>
      </c>
      <c r="M1558" s="5">
        <v>44581.0</v>
      </c>
      <c r="N1558" s="1" t="s">
        <v>1789</v>
      </c>
    </row>
    <row r="1559" hidden="1">
      <c r="A1559" s="1" t="s">
        <v>202</v>
      </c>
      <c r="B1559" s="1" t="s">
        <v>25</v>
      </c>
      <c r="C1559" s="1" t="s">
        <v>1672</v>
      </c>
      <c r="D1559" s="1" t="str">
        <f>Vlookup(C1559,'Oil &amp; Gas Documents - Canada'!F:M,2,FALSE)</f>
        <v>#N/A</v>
      </c>
      <c r="E1559" s="1" t="str">
        <f>Vlookup(C1559,'Oil &amp; Gas Documents - Canada'!F:N,9,FALSE)</f>
        <v>#N/A</v>
      </c>
      <c r="F1559" s="1" t="s">
        <v>1673</v>
      </c>
      <c r="G1559" s="4" t="str">
        <f>HYPERLINK("http://nimonikapp.com/legislations/2","http://nimonikapp.com/legislations/2")</f>
        <v>http://nimonikapp.com/legislations/2</v>
      </c>
      <c r="H1559" s="1" t="s">
        <v>18</v>
      </c>
      <c r="I1559" s="1" t="s">
        <v>4424</v>
      </c>
      <c r="J1559" s="1" t="s">
        <v>4425</v>
      </c>
      <c r="K1559" s="5">
        <v>44505.0</v>
      </c>
      <c r="L1559" s="5">
        <v>44505.0</v>
      </c>
      <c r="M1559" s="5">
        <v>44581.0</v>
      </c>
      <c r="N1559" s="1" t="s">
        <v>1676</v>
      </c>
    </row>
    <row r="1560" hidden="1">
      <c r="A1560" s="1" t="s">
        <v>202</v>
      </c>
      <c r="B1560" s="1" t="s">
        <v>25</v>
      </c>
      <c r="C1560" s="1" t="s">
        <v>3089</v>
      </c>
      <c r="D1560" s="1" t="str">
        <f>Vlookup(C1560,'Oil &amp; Gas Documents - Canada'!F:M,2,FALSE)</f>
        <v>#N/A</v>
      </c>
      <c r="E1560" s="1" t="str">
        <f>Vlookup(C1560,'Oil &amp; Gas Documents - Canada'!F:N,9,FALSE)</f>
        <v>#N/A</v>
      </c>
      <c r="F1560" s="1" t="s">
        <v>3090</v>
      </c>
      <c r="G1560" s="4" t="str">
        <f>HYPERLINK("http://nimonikapp.com/legislations/12258","http://nimonikapp.com/legislations/12258")</f>
        <v>http://nimonikapp.com/legislations/12258</v>
      </c>
      <c r="H1560" s="1" t="s">
        <v>18</v>
      </c>
      <c r="I1560" s="1" t="s">
        <v>4424</v>
      </c>
      <c r="J1560" s="1" t="s">
        <v>4425</v>
      </c>
      <c r="K1560" s="5">
        <v>44505.0</v>
      </c>
      <c r="L1560" s="5">
        <v>44505.0</v>
      </c>
      <c r="M1560" s="5">
        <v>44581.0</v>
      </c>
      <c r="N1560" s="1" t="s">
        <v>3091</v>
      </c>
    </row>
    <row r="1561" hidden="1">
      <c r="A1561" s="1" t="s">
        <v>202</v>
      </c>
      <c r="B1561" s="1" t="s">
        <v>25</v>
      </c>
      <c r="C1561" s="1" t="s">
        <v>2254</v>
      </c>
      <c r="D1561" s="1" t="str">
        <f>Vlookup(C1561,'Oil &amp; Gas Documents - Canada'!F:M,2,FALSE)</f>
        <v>#N/A</v>
      </c>
      <c r="E1561" s="1" t="str">
        <f>Vlookup(C1561,'Oil &amp; Gas Documents - Canada'!F:N,9,FALSE)</f>
        <v>#N/A</v>
      </c>
      <c r="F1561" s="1" t="s">
        <v>2255</v>
      </c>
      <c r="G1561" s="4" t="str">
        <f>HYPERLINK("http://nimonikapp.com/legislations/7071","http://nimonikapp.com/legislations/7071")</f>
        <v>http://nimonikapp.com/legislations/7071</v>
      </c>
      <c r="H1561" s="1" t="s">
        <v>18</v>
      </c>
      <c r="I1561" s="1" t="s">
        <v>4424</v>
      </c>
      <c r="J1561" s="1" t="s">
        <v>4425</v>
      </c>
      <c r="K1561" s="5">
        <v>44505.0</v>
      </c>
      <c r="L1561" s="5">
        <v>44505.0</v>
      </c>
      <c r="M1561" s="5">
        <v>44581.0</v>
      </c>
    </row>
    <row r="1562" hidden="1">
      <c r="A1562" s="1" t="s">
        <v>202</v>
      </c>
      <c r="B1562" s="1" t="s">
        <v>25</v>
      </c>
      <c r="C1562" s="1" t="s">
        <v>2513</v>
      </c>
      <c r="D1562" s="1" t="str">
        <f>Vlookup(C1562,'Oil &amp; Gas Documents - Canada'!F:M,2,FALSE)</f>
        <v>#N/A</v>
      </c>
      <c r="E1562" s="1" t="str">
        <f>Vlookup(C1562,'Oil &amp; Gas Documents - Canada'!F:N,9,FALSE)</f>
        <v>#N/A</v>
      </c>
      <c r="F1562" s="1" t="s">
        <v>2514</v>
      </c>
      <c r="G1562" s="4" t="str">
        <f>HYPERLINK("http://nimonikapp.com/legislations/10657","http://nimonikapp.com/legislations/10657")</f>
        <v>http://nimonikapp.com/legislations/10657</v>
      </c>
      <c r="H1562" s="1" t="s">
        <v>18</v>
      </c>
      <c r="I1562" s="1" t="s">
        <v>4424</v>
      </c>
      <c r="J1562" s="1" t="s">
        <v>4425</v>
      </c>
      <c r="K1562" s="5">
        <v>44505.0</v>
      </c>
      <c r="L1562" s="5">
        <v>44505.0</v>
      </c>
      <c r="M1562" s="5">
        <v>44581.0</v>
      </c>
      <c r="N1562" s="1" t="s">
        <v>2517</v>
      </c>
    </row>
    <row r="1563" hidden="1">
      <c r="A1563" s="1" t="s">
        <v>202</v>
      </c>
      <c r="B1563" s="1" t="s">
        <v>25</v>
      </c>
      <c r="C1563" s="1" t="s">
        <v>2117</v>
      </c>
      <c r="D1563" s="1" t="str">
        <f>Vlookup(C1563,'Oil &amp; Gas Documents - Canada'!F:M,2,FALSE)</f>
        <v>#N/A</v>
      </c>
      <c r="E1563" s="1" t="str">
        <f>Vlookup(C1563,'Oil &amp; Gas Documents - Canada'!F:N,9,FALSE)</f>
        <v>#N/A</v>
      </c>
      <c r="F1563" s="1" t="s">
        <v>2118</v>
      </c>
      <c r="G1563" s="4" t="str">
        <f>HYPERLINK("http://nimonikapp.com/legislations/14","http://nimonikapp.com/legislations/14")</f>
        <v>http://nimonikapp.com/legislations/14</v>
      </c>
      <c r="H1563" s="1" t="s">
        <v>18</v>
      </c>
      <c r="I1563" s="1" t="s">
        <v>4424</v>
      </c>
      <c r="J1563" s="1" t="s">
        <v>4425</v>
      </c>
      <c r="K1563" s="5">
        <v>44505.0</v>
      </c>
      <c r="L1563" s="5">
        <v>44505.0</v>
      </c>
      <c r="M1563" s="5">
        <v>44581.0</v>
      </c>
    </row>
    <row r="1564" hidden="1">
      <c r="A1564" s="1" t="s">
        <v>202</v>
      </c>
      <c r="B1564" s="1" t="s">
        <v>25</v>
      </c>
      <c r="C1564" s="1" t="s">
        <v>3741</v>
      </c>
      <c r="D1564" s="1" t="str">
        <f>Vlookup(C1564,'Oil &amp; Gas Documents - Canada'!F:M,2,FALSE)</f>
        <v>#N/A</v>
      </c>
      <c r="E1564" s="1" t="str">
        <f>Vlookup(C1564,'Oil &amp; Gas Documents - Canada'!F:N,9,FALSE)</f>
        <v>#N/A</v>
      </c>
      <c r="F1564" s="1" t="s">
        <v>1410</v>
      </c>
      <c r="G1564" s="4" t="str">
        <f>HYPERLINK("http://nimonikapp.com/legislations/266597","http://nimonikapp.com/legislations/266597")</f>
        <v>http://nimonikapp.com/legislations/266597</v>
      </c>
      <c r="H1564" s="1" t="s">
        <v>356</v>
      </c>
      <c r="I1564" s="1" t="s">
        <v>4438</v>
      </c>
      <c r="J1564" s="1" t="s">
        <v>1410</v>
      </c>
      <c r="K1564" s="5">
        <v>44581.0</v>
      </c>
      <c r="L1564" s="5">
        <v>44578.0</v>
      </c>
      <c r="M1564" s="5">
        <v>44581.0</v>
      </c>
      <c r="N1564" s="1" t="s">
        <v>3743</v>
      </c>
    </row>
    <row r="1565" hidden="1">
      <c r="A1565" s="1" t="s">
        <v>202</v>
      </c>
      <c r="B1565" s="1" t="s">
        <v>25</v>
      </c>
      <c r="C1565" s="1" t="s">
        <v>4089</v>
      </c>
      <c r="D1565" s="1" t="str">
        <f>Vlookup(C1565,'Oil &amp; Gas Documents - Canada'!F:M,2,FALSE)</f>
        <v>#N/A</v>
      </c>
      <c r="E1565" s="1" t="str">
        <f>Vlookup(C1565,'Oil &amp; Gas Documents - Canada'!F:N,9,FALSE)</f>
        <v>#N/A</v>
      </c>
      <c r="F1565" s="1" t="s">
        <v>1410</v>
      </c>
      <c r="G1565" s="4" t="str">
        <f>HYPERLINK("http://nimonikapp.com/legislations/297642","http://nimonikapp.com/legislations/297642")</f>
        <v>http://nimonikapp.com/legislations/297642</v>
      </c>
      <c r="H1565" s="1" t="s">
        <v>18</v>
      </c>
      <c r="I1565" s="1" t="s">
        <v>4438</v>
      </c>
      <c r="J1565" s="1" t="s">
        <v>1410</v>
      </c>
      <c r="K1565" s="5">
        <v>44581.0</v>
      </c>
      <c r="L1565" s="5">
        <v>44578.0</v>
      </c>
      <c r="M1565" s="5">
        <v>44581.0</v>
      </c>
      <c r="N1565" s="1" t="s">
        <v>4091</v>
      </c>
    </row>
    <row r="1566" hidden="1">
      <c r="A1566" s="1" t="s">
        <v>202</v>
      </c>
      <c r="B1566" s="1" t="s">
        <v>25</v>
      </c>
      <c r="C1566" s="1" t="s">
        <v>3758</v>
      </c>
      <c r="D1566" s="1" t="str">
        <f>Vlookup(C1566,'Oil &amp; Gas Documents - Canada'!F:M,2,FALSE)</f>
        <v>#N/A</v>
      </c>
      <c r="E1566" s="1" t="str">
        <f>Vlookup(C1566,'Oil &amp; Gas Documents - Canada'!F:N,9,FALSE)</f>
        <v>#N/A</v>
      </c>
      <c r="F1566" s="1" t="s">
        <v>3759</v>
      </c>
      <c r="G1566" s="4" t="str">
        <f>HYPERLINK("http://nimonikapp.com/legislations/155085","http://nimonikapp.com/legislations/155085")</f>
        <v>http://nimonikapp.com/legislations/155085</v>
      </c>
      <c r="H1566" s="1" t="s">
        <v>356</v>
      </c>
      <c r="I1566" s="1" t="s">
        <v>3747</v>
      </c>
      <c r="J1566" s="1" t="s">
        <v>1410</v>
      </c>
      <c r="K1566" s="5">
        <v>44581.0</v>
      </c>
      <c r="L1566" s="5">
        <v>44577.0</v>
      </c>
      <c r="M1566" s="5">
        <v>44581.0</v>
      </c>
      <c r="N1566" s="1" t="s">
        <v>3748</v>
      </c>
    </row>
    <row r="1567" hidden="1">
      <c r="A1567" s="1" t="s">
        <v>202</v>
      </c>
      <c r="B1567" s="1" t="s">
        <v>25</v>
      </c>
      <c r="C1567" s="1" t="s">
        <v>3750</v>
      </c>
      <c r="D1567" s="1" t="str">
        <f>Vlookup(C1567,'Oil &amp; Gas Documents - Canada'!F:M,2,FALSE)</f>
        <v>#N/A</v>
      </c>
      <c r="E1567" s="1" t="str">
        <f>Vlookup(C1567,'Oil &amp; Gas Documents - Canada'!F:N,9,FALSE)</f>
        <v>#N/A</v>
      </c>
      <c r="F1567" s="1" t="s">
        <v>1410</v>
      </c>
      <c r="G1567" s="4" t="str">
        <f>HYPERLINK("http://nimonikapp.com/legislations/312927","http://nimonikapp.com/legislations/312927")</f>
        <v>http://nimonikapp.com/legislations/312927</v>
      </c>
      <c r="H1567" s="1" t="s">
        <v>356</v>
      </c>
      <c r="I1567" s="1" t="s">
        <v>3747</v>
      </c>
      <c r="J1567" s="1" t="s">
        <v>1410</v>
      </c>
      <c r="K1567" s="5">
        <v>44581.0</v>
      </c>
      <c r="L1567" s="5">
        <v>44577.0</v>
      </c>
      <c r="M1567" s="5">
        <v>44581.0</v>
      </c>
      <c r="N1567" s="1" t="s">
        <v>3748</v>
      </c>
    </row>
    <row r="1568" hidden="1">
      <c r="A1568" s="1" t="s">
        <v>202</v>
      </c>
      <c r="B1568" s="1" t="s">
        <v>25</v>
      </c>
      <c r="C1568" s="1" t="s">
        <v>3752</v>
      </c>
      <c r="D1568" s="1" t="str">
        <f>Vlookup(C1568,'Oil &amp; Gas Documents - Canada'!F:M,2,FALSE)</f>
        <v>#N/A</v>
      </c>
      <c r="E1568" s="1" t="str">
        <f>Vlookup(C1568,'Oil &amp; Gas Documents - Canada'!F:N,9,FALSE)</f>
        <v>#N/A</v>
      </c>
      <c r="F1568" s="1" t="s">
        <v>3753</v>
      </c>
      <c r="G1568" s="4" t="str">
        <f>HYPERLINK("http://nimonikapp.com/legislations/158472","http://nimonikapp.com/legislations/158472")</f>
        <v>http://nimonikapp.com/legislations/158472</v>
      </c>
      <c r="H1568" s="1" t="s">
        <v>356</v>
      </c>
      <c r="I1568" s="1" t="s">
        <v>3747</v>
      </c>
      <c r="J1568" s="1" t="s">
        <v>1410</v>
      </c>
      <c r="K1568" s="5">
        <v>44581.0</v>
      </c>
      <c r="L1568" s="5">
        <v>44577.0</v>
      </c>
      <c r="M1568" s="5">
        <v>44581.0</v>
      </c>
      <c r="N1568" s="1" t="s">
        <v>3748</v>
      </c>
    </row>
    <row r="1569" hidden="1">
      <c r="A1569" s="1" t="s">
        <v>66</v>
      </c>
      <c r="B1569" s="1" t="s">
        <v>15</v>
      </c>
      <c r="C1569" s="1" t="s">
        <v>4439</v>
      </c>
      <c r="D1569" s="1" t="str">
        <f>Vlookup(C1569,'Oil &amp; Gas Documents - Canada'!F:M,2,FALSE)</f>
        <v>#N/A</v>
      </c>
      <c r="E1569" s="1" t="str">
        <f>Vlookup(C1569,'Oil &amp; Gas Documents - Canada'!F:N,9,FALSE)</f>
        <v>#N/A</v>
      </c>
      <c r="F1569" s="1" t="s">
        <v>4440</v>
      </c>
      <c r="G1569" s="4" t="str">
        <f>HYPERLINK("http://nimonikapp.com/legislations/320321","http://nimonikapp.com/legislations/320321")</f>
        <v>http://nimonikapp.com/legislations/320321</v>
      </c>
      <c r="H1569" s="1" t="s">
        <v>516</v>
      </c>
      <c r="K1569" s="5">
        <v>44580.0</v>
      </c>
      <c r="M1569" s="5">
        <v>44580.0</v>
      </c>
    </row>
    <row r="1570" hidden="1">
      <c r="A1570" s="1" t="s">
        <v>70</v>
      </c>
      <c r="B1570" s="1" t="s">
        <v>15</v>
      </c>
      <c r="C1570" s="1" t="s">
        <v>4441</v>
      </c>
      <c r="D1570" s="1" t="str">
        <f>Vlookup(C1570,'Oil &amp; Gas Documents - Canada'!F:M,2,FALSE)</f>
        <v>#N/A</v>
      </c>
      <c r="E1570" s="1" t="str">
        <f>Vlookup(C1570,'Oil &amp; Gas Documents - Canada'!F:N,9,FALSE)</f>
        <v>#N/A</v>
      </c>
      <c r="F1570" s="1" t="s">
        <v>4442</v>
      </c>
      <c r="G1570" s="4" t="str">
        <f>HYPERLINK("http://nimonikapp.com/legislations/320287","http://nimonikapp.com/legislations/320287")</f>
        <v>http://nimonikapp.com/legislations/320287</v>
      </c>
      <c r="H1570" s="1" t="s">
        <v>516</v>
      </c>
      <c r="K1570" s="5">
        <v>44578.0</v>
      </c>
      <c r="M1570" s="5">
        <v>44580.0</v>
      </c>
    </row>
    <row r="1571" hidden="1">
      <c r="A1571" s="1" t="s">
        <v>202</v>
      </c>
      <c r="B1571" s="1" t="s">
        <v>15</v>
      </c>
      <c r="C1571" s="1" t="s">
        <v>4443</v>
      </c>
      <c r="D1571" s="1" t="str">
        <f>Vlookup(C1571,'Oil &amp; Gas Documents - Canada'!F:M,2,FALSE)</f>
        <v>#N/A</v>
      </c>
      <c r="E1571" s="1" t="str">
        <f>Vlookup(C1571,'Oil &amp; Gas Documents - Canada'!F:N,9,FALSE)</f>
        <v>#N/A</v>
      </c>
      <c r="F1571" s="1" t="s">
        <v>4444</v>
      </c>
      <c r="G1571" s="4" t="str">
        <f>HYPERLINK("http://nimonikapp.com/legislations/320316","http://nimonikapp.com/legislations/320316")</f>
        <v>http://nimonikapp.com/legislations/320316</v>
      </c>
      <c r="H1571" s="1" t="s">
        <v>516</v>
      </c>
      <c r="K1571" s="5">
        <v>44580.0</v>
      </c>
      <c r="M1571" s="5">
        <v>44580.0</v>
      </c>
    </row>
    <row r="1572" hidden="1">
      <c r="A1572" s="1" t="s">
        <v>73</v>
      </c>
      <c r="B1572" s="1" t="s">
        <v>15</v>
      </c>
      <c r="C1572" s="1" t="s">
        <v>4445</v>
      </c>
      <c r="D1572" s="1" t="str">
        <f>Vlookup(C1572,'Oil &amp; Gas Documents - Canada'!F:M,2,FALSE)</f>
        <v>#N/A</v>
      </c>
      <c r="E1572" s="1" t="str">
        <f>Vlookup(C1572,'Oil &amp; Gas Documents - Canada'!F:N,9,FALSE)</f>
        <v>#N/A</v>
      </c>
      <c r="F1572" s="1" t="s">
        <v>4446</v>
      </c>
      <c r="G1572" s="4" t="str">
        <f>HYPERLINK("http://nimonikapp.com/legislations/320329","http://nimonikapp.com/legislations/320329")</f>
        <v>http://nimonikapp.com/legislations/320329</v>
      </c>
      <c r="H1572" s="1" t="s">
        <v>18</v>
      </c>
      <c r="K1572" s="5">
        <v>44580.0</v>
      </c>
      <c r="L1572" s="5">
        <v>44571.0</v>
      </c>
      <c r="M1572" s="5">
        <v>44580.0</v>
      </c>
    </row>
    <row r="1573" hidden="1">
      <c r="A1573" s="1" t="s">
        <v>66</v>
      </c>
      <c r="B1573" s="1" t="s">
        <v>25</v>
      </c>
      <c r="C1573" s="1" t="s">
        <v>4072</v>
      </c>
      <c r="D1573" s="1" t="str">
        <f>Vlookup(C1573,'Oil &amp; Gas Documents - Canada'!F:M,2,FALSE)</f>
        <v>#N/A</v>
      </c>
      <c r="E1573" s="1" t="str">
        <f>Vlookup(C1573,'Oil &amp; Gas Documents - Canada'!F:N,9,FALSE)</f>
        <v>#N/A</v>
      </c>
      <c r="F1573" s="1" t="s">
        <v>4073</v>
      </c>
      <c r="G1573" s="4" t="str">
        <f>HYPERLINK("http://nimonikapp.com/legislations/316325","http://nimonikapp.com/legislations/316325")</f>
        <v>http://nimonikapp.com/legislations/316325</v>
      </c>
      <c r="H1573" s="1" t="s">
        <v>356</v>
      </c>
      <c r="I1573" s="1" t="s">
        <v>4447</v>
      </c>
      <c r="J1573" s="1" t="s">
        <v>4448</v>
      </c>
      <c r="K1573" s="5">
        <v>44575.0</v>
      </c>
      <c r="L1573" s="5">
        <v>44575.0</v>
      </c>
      <c r="M1573" s="5">
        <v>44580.0</v>
      </c>
      <c r="N1573" s="1" t="s">
        <v>4076</v>
      </c>
    </row>
    <row r="1574" hidden="1">
      <c r="A1574" s="1" t="s">
        <v>21</v>
      </c>
      <c r="B1574" s="1" t="s">
        <v>25</v>
      </c>
      <c r="C1574" s="1" t="s">
        <v>1586</v>
      </c>
      <c r="D1574" s="1" t="str">
        <f>Vlookup(C1574,'Oil &amp; Gas Documents - Canada'!F:M,2,FALSE)</f>
        <v>#N/A</v>
      </c>
      <c r="E1574" s="1" t="str">
        <f>Vlookup(C1574,'Oil &amp; Gas Documents - Canada'!F:N,9,FALSE)</f>
        <v>#N/A</v>
      </c>
      <c r="F1574" s="1" t="s">
        <v>1587</v>
      </c>
      <c r="G1574" s="4" t="str">
        <f>HYPERLINK("http://nimonikapp.com/legislations/1133","http://nimonikapp.com/legislations/1133")</f>
        <v>http://nimonikapp.com/legislations/1133</v>
      </c>
      <c r="H1574" s="1" t="s">
        <v>18</v>
      </c>
      <c r="I1574" s="1" t="s">
        <v>4449</v>
      </c>
      <c r="J1574" s="1" t="s">
        <v>1589</v>
      </c>
      <c r="K1574" s="5">
        <v>44576.0</v>
      </c>
      <c r="L1574" s="5">
        <v>44546.0</v>
      </c>
      <c r="M1574" s="5">
        <v>44580.0</v>
      </c>
      <c r="N1574" s="1" t="s">
        <v>1590</v>
      </c>
    </row>
    <row r="1575" hidden="1">
      <c r="A1575" s="1" t="s">
        <v>70</v>
      </c>
      <c r="B1575" s="1" t="s">
        <v>15</v>
      </c>
      <c r="C1575" s="1" t="s">
        <v>4450</v>
      </c>
      <c r="D1575" s="1" t="str">
        <f>Vlookup(C1575,'Oil &amp; Gas Documents - Canada'!F:M,2,FALSE)</f>
        <v>#N/A</v>
      </c>
      <c r="E1575" s="1" t="str">
        <f>Vlookup(C1575,'Oil &amp; Gas Documents - Canada'!F:N,9,FALSE)</f>
        <v>#N/A</v>
      </c>
      <c r="F1575" s="1" t="s">
        <v>4451</v>
      </c>
      <c r="G1575" s="4" t="str">
        <f>HYPERLINK("http://nimonikapp.com/legislations/320092","http://nimonikapp.com/legislations/320092")</f>
        <v>http://nimonikapp.com/legislations/320092</v>
      </c>
      <c r="H1575" s="1" t="s">
        <v>516</v>
      </c>
      <c r="K1575" s="5">
        <v>44575.0</v>
      </c>
      <c r="M1575" s="5">
        <v>44579.0</v>
      </c>
    </row>
    <row r="1576" hidden="1">
      <c r="A1576" s="1" t="s">
        <v>73</v>
      </c>
      <c r="B1576" s="1" t="s">
        <v>15</v>
      </c>
      <c r="C1576" s="1" t="s">
        <v>4452</v>
      </c>
      <c r="D1576" s="1" t="str">
        <f>Vlookup(C1576,'Oil &amp; Gas Documents - Canada'!F:M,2,FALSE)</f>
        <v>#N/A</v>
      </c>
      <c r="E1576" s="1" t="str">
        <f>Vlookup(C1576,'Oil &amp; Gas Documents - Canada'!F:N,9,FALSE)</f>
        <v>#N/A</v>
      </c>
      <c r="F1576" s="1" t="s">
        <v>4453</v>
      </c>
      <c r="G1576" s="4" t="str">
        <f>HYPERLINK("http://nimonikapp.com/legislations/320056","http://nimonikapp.com/legislations/320056")</f>
        <v>http://nimonikapp.com/legislations/320056</v>
      </c>
      <c r="H1576" s="1" t="s">
        <v>516</v>
      </c>
      <c r="K1576" s="5">
        <v>44576.0</v>
      </c>
      <c r="M1576" s="5">
        <v>44579.0</v>
      </c>
    </row>
    <row r="1577" hidden="1">
      <c r="A1577" s="1" t="s">
        <v>73</v>
      </c>
      <c r="B1577" s="1" t="s">
        <v>25</v>
      </c>
      <c r="C1577" s="1" t="s">
        <v>1762</v>
      </c>
      <c r="D1577" s="1" t="str">
        <f>Vlookup(C1577,'Oil &amp; Gas Documents - Canada'!F:M,2,FALSE)</f>
        <v>#N/A</v>
      </c>
      <c r="E1577" s="1" t="str">
        <f>Vlookup(C1577,'Oil &amp; Gas Documents - Canada'!F:N,9,FALSE)</f>
        <v>#N/A</v>
      </c>
      <c r="F1577" s="1" t="s">
        <v>1763</v>
      </c>
      <c r="G1577" s="4" t="str">
        <f>HYPERLINK("http://nimonikapp.com/legislations/6187","http://nimonikapp.com/legislations/6187")</f>
        <v>http://nimonikapp.com/legislations/6187</v>
      </c>
      <c r="H1577" s="1" t="s">
        <v>18</v>
      </c>
      <c r="I1577" s="1" t="s">
        <v>4454</v>
      </c>
      <c r="J1577" s="1" t="s">
        <v>4455</v>
      </c>
      <c r="K1577" s="5">
        <v>44576.0</v>
      </c>
      <c r="L1577" s="5">
        <v>44575.0</v>
      </c>
      <c r="M1577" s="5">
        <v>44579.0</v>
      </c>
      <c r="N1577" s="1" t="s">
        <v>1766</v>
      </c>
    </row>
    <row r="1578" hidden="1">
      <c r="A1578" s="1" t="s">
        <v>202</v>
      </c>
      <c r="B1578" s="1" t="s">
        <v>25</v>
      </c>
      <c r="C1578" s="1" t="s">
        <v>4236</v>
      </c>
      <c r="D1578" s="1" t="str">
        <f>Vlookup(C1578,'Oil &amp; Gas Documents - Canada'!F:M,2,FALSE)</f>
        <v>#N/A</v>
      </c>
      <c r="E1578" s="1" t="str">
        <f>Vlookup(C1578,'Oil &amp; Gas Documents - Canada'!F:N,9,FALSE)</f>
        <v>#N/A</v>
      </c>
      <c r="F1578" s="1" t="s">
        <v>4237</v>
      </c>
      <c r="G1578" s="4" t="str">
        <f>HYPERLINK("http://nimonikapp.com/legislations/927","http://nimonikapp.com/legislations/927")</f>
        <v>http://nimonikapp.com/legislations/927</v>
      </c>
      <c r="H1578" s="1" t="s">
        <v>18</v>
      </c>
      <c r="I1578" s="1" t="s">
        <v>4456</v>
      </c>
      <c r="J1578" s="1" t="s">
        <v>4457</v>
      </c>
      <c r="K1578" s="5">
        <v>44574.0</v>
      </c>
      <c r="L1578" s="5">
        <v>44392.0</v>
      </c>
      <c r="M1578" s="5">
        <v>44579.0</v>
      </c>
    </row>
    <row r="1579" hidden="1">
      <c r="A1579" s="1" t="s">
        <v>202</v>
      </c>
      <c r="B1579" s="1" t="s">
        <v>25</v>
      </c>
      <c r="C1579" s="1" t="s">
        <v>1921</v>
      </c>
      <c r="D1579" s="1" t="str">
        <f>Vlookup(C1579,'Oil &amp; Gas Documents - Canada'!F:M,2,FALSE)</f>
        <v>#N/A</v>
      </c>
      <c r="E1579" s="1" t="str">
        <f>Vlookup(C1579,'Oil &amp; Gas Documents - Canada'!F:N,9,FALSE)</f>
        <v>#N/A</v>
      </c>
      <c r="F1579" s="1" t="s">
        <v>1922</v>
      </c>
      <c r="G1579" s="4" t="str">
        <f>HYPERLINK("http://nimonikapp.com/legislations/942","http://nimonikapp.com/legislations/942")</f>
        <v>http://nimonikapp.com/legislations/942</v>
      </c>
      <c r="H1579" s="1" t="s">
        <v>18</v>
      </c>
      <c r="I1579" s="1" t="s">
        <v>4456</v>
      </c>
      <c r="J1579" s="1" t="s">
        <v>4457</v>
      </c>
      <c r="K1579" s="5">
        <v>44574.0</v>
      </c>
      <c r="L1579" s="5">
        <v>44392.0</v>
      </c>
      <c r="M1579" s="5">
        <v>44579.0</v>
      </c>
      <c r="N1579" s="1" t="s">
        <v>1925</v>
      </c>
    </row>
    <row r="1580" hidden="1">
      <c r="A1580" s="1" t="s">
        <v>73</v>
      </c>
      <c r="B1580" s="1" t="s">
        <v>364</v>
      </c>
      <c r="C1580" s="1" t="s">
        <v>4458</v>
      </c>
      <c r="D1580" s="1" t="str">
        <f>Vlookup(C1580,'Oil &amp; Gas Documents - Canada'!F:M,2,FALSE)</f>
        <v>#N/A</v>
      </c>
      <c r="E1580" s="1" t="str">
        <f>Vlookup(C1580,'Oil &amp; Gas Documents - Canada'!F:N,9,FALSE)</f>
        <v>#N/A</v>
      </c>
      <c r="F1580" s="1" t="s">
        <v>4459</v>
      </c>
      <c r="G1580" s="4" t="str">
        <f>HYPERLINK("http://nimonikapp.com/legislations/319797","http://nimonikapp.com/legislations/319797")</f>
        <v>http://nimonikapp.com/legislations/319797</v>
      </c>
      <c r="H1580" s="1" t="s">
        <v>356</v>
      </c>
      <c r="I1580" s="1" t="s">
        <v>4369</v>
      </c>
      <c r="J1580" s="1" t="s">
        <v>4370</v>
      </c>
      <c r="K1580" s="5">
        <v>44576.0</v>
      </c>
      <c r="L1580" s="5">
        <v>44563.0</v>
      </c>
      <c r="M1580" s="5">
        <v>44579.0</v>
      </c>
      <c r="N1580" s="1" t="s">
        <v>4460</v>
      </c>
    </row>
    <row r="1581" hidden="1">
      <c r="A1581" s="1" t="s">
        <v>70</v>
      </c>
      <c r="B1581" s="1" t="s">
        <v>25</v>
      </c>
      <c r="C1581" s="1" t="s">
        <v>4461</v>
      </c>
      <c r="D1581" s="1" t="str">
        <f>Vlookup(C1581,'Oil &amp; Gas Documents - Canada'!F:M,2,FALSE)</f>
        <v>#N/A</v>
      </c>
      <c r="E1581" s="1" t="str">
        <f>Vlookup(C1581,'Oil &amp; Gas Documents - Canada'!F:N,9,FALSE)</f>
        <v>#N/A</v>
      </c>
      <c r="F1581" s="1" t="s">
        <v>4462</v>
      </c>
      <c r="G1581" s="4" t="str">
        <f>HYPERLINK("http://nimonikapp.com/legislations/3620","http://nimonikapp.com/legislations/3620")</f>
        <v>http://nimonikapp.com/legislations/3620</v>
      </c>
      <c r="H1581" s="1" t="s">
        <v>18</v>
      </c>
      <c r="I1581" s="1" t="s">
        <v>4463</v>
      </c>
      <c r="J1581" s="1" t="s">
        <v>4464</v>
      </c>
      <c r="K1581" s="5">
        <v>44590.0</v>
      </c>
      <c r="L1581" s="5">
        <v>44574.0</v>
      </c>
      <c r="M1581" s="5">
        <v>44579.0</v>
      </c>
    </row>
    <row r="1582" hidden="1">
      <c r="A1582" s="1" t="s">
        <v>202</v>
      </c>
      <c r="B1582" s="1" t="s">
        <v>352</v>
      </c>
      <c r="C1582" s="1" t="s">
        <v>4465</v>
      </c>
      <c r="D1582" s="1" t="str">
        <f>Vlookup(C1582,'Oil &amp; Gas Documents - Canada'!F:M,2,FALSE)</f>
        <v>#N/A</v>
      </c>
      <c r="E1582" s="1" t="str">
        <f>Vlookup(C1582,'Oil &amp; Gas Documents - Canada'!F:N,9,FALSE)</f>
        <v>#N/A</v>
      </c>
      <c r="F1582" s="1" t="s">
        <v>4466</v>
      </c>
      <c r="G1582" s="4" t="str">
        <f>HYPERLINK("http://nimonikapp.com/legislations/1088","http://nimonikapp.com/legislations/1088")</f>
        <v>http://nimonikapp.com/legislations/1088</v>
      </c>
      <c r="H1582" s="1" t="s">
        <v>18</v>
      </c>
      <c r="I1582" s="1" t="s">
        <v>4467</v>
      </c>
      <c r="J1582" s="1" t="s">
        <v>4468</v>
      </c>
      <c r="K1582" s="5">
        <v>44475.0</v>
      </c>
      <c r="L1582" s="5">
        <v>44475.0</v>
      </c>
      <c r="M1582" s="5">
        <v>44575.0</v>
      </c>
      <c r="N1582" s="1" t="s">
        <v>4469</v>
      </c>
    </row>
    <row r="1583" hidden="1">
      <c r="A1583" s="1" t="s">
        <v>202</v>
      </c>
      <c r="B1583" s="1" t="s">
        <v>352</v>
      </c>
      <c r="C1583" s="1" t="s">
        <v>4470</v>
      </c>
      <c r="D1583" s="1" t="str">
        <f>Vlookup(C1583,'Oil &amp; Gas Documents - Canada'!F:M,2,FALSE)</f>
        <v>#N/A</v>
      </c>
      <c r="E1583" s="1" t="str">
        <f>Vlookup(C1583,'Oil &amp; Gas Documents - Canada'!F:N,9,FALSE)</f>
        <v>#N/A</v>
      </c>
      <c r="F1583" s="1" t="s">
        <v>4471</v>
      </c>
      <c r="G1583" s="4" t="str">
        <f>HYPERLINK("http://nimonikapp.com/legislations/1095","http://nimonikapp.com/legislations/1095")</f>
        <v>http://nimonikapp.com/legislations/1095</v>
      </c>
      <c r="H1583" s="1" t="s">
        <v>18</v>
      </c>
      <c r="I1583" s="1" t="s">
        <v>4467</v>
      </c>
      <c r="J1583" s="1" t="s">
        <v>4468</v>
      </c>
      <c r="K1583" s="5">
        <v>44475.0</v>
      </c>
      <c r="L1583" s="5">
        <v>44475.0</v>
      </c>
      <c r="M1583" s="5">
        <v>44575.0</v>
      </c>
      <c r="N1583" s="1" t="s">
        <v>4469</v>
      </c>
    </row>
    <row r="1584" hidden="1">
      <c r="A1584" s="1" t="s">
        <v>202</v>
      </c>
      <c r="B1584" s="1" t="s">
        <v>25</v>
      </c>
      <c r="C1584" s="1" t="s">
        <v>4472</v>
      </c>
      <c r="D1584" s="1" t="str">
        <f>Vlookup(C1584,'Oil &amp; Gas Documents - Canada'!F:M,2,FALSE)</f>
        <v>#N/A</v>
      </c>
      <c r="E1584" s="1" t="str">
        <f>Vlookup(C1584,'Oil &amp; Gas Documents - Canada'!F:N,9,FALSE)</f>
        <v>#N/A</v>
      </c>
      <c r="F1584" s="1" t="s">
        <v>4473</v>
      </c>
      <c r="G1584" s="4" t="str">
        <f>HYPERLINK("http://nimonikapp.com/legislations/1084","http://nimonikapp.com/legislations/1084")</f>
        <v>http://nimonikapp.com/legislations/1084</v>
      </c>
      <c r="H1584" s="1" t="s">
        <v>18</v>
      </c>
      <c r="I1584" s="1" t="s">
        <v>4467</v>
      </c>
      <c r="J1584" s="1" t="s">
        <v>4468</v>
      </c>
      <c r="K1584" s="5">
        <v>44475.0</v>
      </c>
      <c r="L1584" s="5">
        <v>44475.0</v>
      </c>
      <c r="M1584" s="5">
        <v>44575.0</v>
      </c>
    </row>
    <row r="1585" hidden="1">
      <c r="A1585" s="1" t="s">
        <v>202</v>
      </c>
      <c r="B1585" s="1" t="s">
        <v>352</v>
      </c>
      <c r="C1585" s="1" t="s">
        <v>4474</v>
      </c>
      <c r="D1585" s="1" t="str">
        <f>Vlookup(C1585,'Oil &amp; Gas Documents - Canada'!F:M,2,FALSE)</f>
        <v>#N/A</v>
      </c>
      <c r="E1585" s="1" t="str">
        <f>Vlookup(C1585,'Oil &amp; Gas Documents - Canada'!F:N,9,FALSE)</f>
        <v>#N/A</v>
      </c>
      <c r="F1585" s="1" t="s">
        <v>4475</v>
      </c>
      <c r="G1585" s="4" t="str">
        <f>HYPERLINK("http://nimonikapp.com/legislations/1086","http://nimonikapp.com/legislations/1086")</f>
        <v>http://nimonikapp.com/legislations/1086</v>
      </c>
      <c r="H1585" s="1" t="s">
        <v>18</v>
      </c>
      <c r="I1585" s="1" t="s">
        <v>4467</v>
      </c>
      <c r="J1585" s="1" t="s">
        <v>4468</v>
      </c>
      <c r="K1585" s="5">
        <v>44475.0</v>
      </c>
      <c r="L1585" s="5">
        <v>44475.0</v>
      </c>
      <c r="M1585" s="5">
        <v>44575.0</v>
      </c>
      <c r="N1585" s="1" t="s">
        <v>4469</v>
      </c>
    </row>
    <row r="1586" hidden="1">
      <c r="A1586" s="1" t="s">
        <v>202</v>
      </c>
      <c r="B1586" s="1" t="s">
        <v>25</v>
      </c>
      <c r="C1586" s="1" t="s">
        <v>2114</v>
      </c>
      <c r="D1586" s="1" t="str">
        <f>Vlookup(C1586,'Oil &amp; Gas Documents - Canada'!F:M,2,FALSE)</f>
        <v>#N/A</v>
      </c>
      <c r="E1586" s="1" t="str">
        <f>Vlookup(C1586,'Oil &amp; Gas Documents - Canada'!F:N,9,FALSE)</f>
        <v>#N/A</v>
      </c>
      <c r="F1586" s="1" t="s">
        <v>2115</v>
      </c>
      <c r="G1586" s="4" t="str">
        <f>HYPERLINK("http://nimonikapp.com/legislations/46","http://nimonikapp.com/legislations/46")</f>
        <v>http://nimonikapp.com/legislations/46</v>
      </c>
      <c r="H1586" s="1" t="s">
        <v>18</v>
      </c>
      <c r="I1586" s="1" t="s">
        <v>4467</v>
      </c>
      <c r="J1586" s="1" t="s">
        <v>4468</v>
      </c>
      <c r="K1586" s="5">
        <v>44475.0</v>
      </c>
      <c r="L1586" s="5">
        <v>44475.0</v>
      </c>
      <c r="M1586" s="5">
        <v>44575.0</v>
      </c>
      <c r="N1586" s="1" t="s">
        <v>2116</v>
      </c>
    </row>
    <row r="1587" hidden="1">
      <c r="A1587" s="1" t="s">
        <v>202</v>
      </c>
      <c r="B1587" s="1" t="s">
        <v>25</v>
      </c>
      <c r="C1587" s="1" t="s">
        <v>2058</v>
      </c>
      <c r="D1587" s="1" t="str">
        <f>Vlookup(C1587,'Oil &amp; Gas Documents - Canada'!F:M,2,FALSE)</f>
        <v>#N/A</v>
      </c>
      <c r="E1587" s="1" t="str">
        <f>Vlookup(C1587,'Oil &amp; Gas Documents - Canada'!F:N,9,FALSE)</f>
        <v>#N/A</v>
      </c>
      <c r="F1587" s="1" t="s">
        <v>2059</v>
      </c>
      <c r="G1587" s="4" t="str">
        <f>HYPERLINK("http://nimonikapp.com/legislations/41","http://nimonikapp.com/legislations/41")</f>
        <v>http://nimonikapp.com/legislations/41</v>
      </c>
      <c r="H1587" s="1" t="s">
        <v>18</v>
      </c>
      <c r="I1587" s="1" t="s">
        <v>4467</v>
      </c>
      <c r="J1587" s="1" t="s">
        <v>4468</v>
      </c>
      <c r="K1587" s="5">
        <v>44475.0</v>
      </c>
      <c r="L1587" s="5">
        <v>44475.0</v>
      </c>
      <c r="M1587" s="5">
        <v>44575.0</v>
      </c>
      <c r="N1587" s="1" t="s">
        <v>2060</v>
      </c>
    </row>
    <row r="1588" hidden="1">
      <c r="A1588" s="1" t="s">
        <v>202</v>
      </c>
      <c r="B1588" s="1" t="s">
        <v>25</v>
      </c>
      <c r="C1588" s="1" t="s">
        <v>3638</v>
      </c>
      <c r="D1588" s="1" t="str">
        <f>Vlookup(C1588,'Oil &amp; Gas Documents - Canada'!F:M,2,FALSE)</f>
        <v>#N/A</v>
      </c>
      <c r="E1588" s="1" t="str">
        <f>Vlookup(C1588,'Oil &amp; Gas Documents - Canada'!F:N,9,FALSE)</f>
        <v>#N/A</v>
      </c>
      <c r="F1588" s="1" t="s">
        <v>3639</v>
      </c>
      <c r="G1588" s="4" t="str">
        <f>HYPERLINK("http://nimonikapp.com/legislations/1091","http://nimonikapp.com/legislations/1091")</f>
        <v>http://nimonikapp.com/legislations/1091</v>
      </c>
      <c r="H1588" s="1" t="s">
        <v>18</v>
      </c>
      <c r="I1588" s="1" t="s">
        <v>4467</v>
      </c>
      <c r="J1588" s="1" t="s">
        <v>4468</v>
      </c>
      <c r="K1588" s="5">
        <v>44475.0</v>
      </c>
      <c r="L1588" s="5">
        <v>44475.0</v>
      </c>
      <c r="M1588" s="5">
        <v>44575.0</v>
      </c>
      <c r="N1588" s="1" t="s">
        <v>3642</v>
      </c>
    </row>
    <row r="1589" hidden="1">
      <c r="A1589" s="1" t="s">
        <v>202</v>
      </c>
      <c r="B1589" s="1" t="s">
        <v>352</v>
      </c>
      <c r="C1589" s="1" t="s">
        <v>4476</v>
      </c>
      <c r="D1589" s="1" t="str">
        <f>Vlookup(C1589,'Oil &amp; Gas Documents - Canada'!F:M,2,FALSE)</f>
        <v>#N/A</v>
      </c>
      <c r="E1589" s="1" t="str">
        <f>Vlookup(C1589,'Oil &amp; Gas Documents - Canada'!F:N,9,FALSE)</f>
        <v>#N/A</v>
      </c>
      <c r="F1589" s="1" t="s">
        <v>4477</v>
      </c>
      <c r="G1589" s="4" t="str">
        <f>HYPERLINK("http://nimonikapp.com/legislations/1100","http://nimonikapp.com/legislations/1100")</f>
        <v>http://nimonikapp.com/legislations/1100</v>
      </c>
      <c r="H1589" s="1" t="s">
        <v>18</v>
      </c>
      <c r="I1589" s="1" t="s">
        <v>4467</v>
      </c>
      <c r="J1589" s="1" t="s">
        <v>4468</v>
      </c>
      <c r="K1589" s="5">
        <v>44475.0</v>
      </c>
      <c r="L1589" s="5">
        <v>44475.0</v>
      </c>
      <c r="M1589" s="5">
        <v>44575.0</v>
      </c>
      <c r="N1589" s="1" t="s">
        <v>4478</v>
      </c>
    </row>
    <row r="1590" hidden="1">
      <c r="A1590" s="1" t="s">
        <v>202</v>
      </c>
      <c r="B1590" s="1" t="s">
        <v>25</v>
      </c>
      <c r="C1590" s="1" t="s">
        <v>4479</v>
      </c>
      <c r="D1590" s="1" t="str">
        <f>Vlookup(C1590,'Oil &amp; Gas Documents - Canada'!F:M,2,FALSE)</f>
        <v>#N/A</v>
      </c>
      <c r="E1590" s="1" t="str">
        <f>Vlookup(C1590,'Oil &amp; Gas Documents - Canada'!F:N,9,FALSE)</f>
        <v>#N/A</v>
      </c>
      <c r="F1590" s="1" t="s">
        <v>4480</v>
      </c>
      <c r="G1590" s="4" t="str">
        <f>HYPERLINK("http://nimonikapp.com/legislations/1099","http://nimonikapp.com/legislations/1099")</f>
        <v>http://nimonikapp.com/legislations/1099</v>
      </c>
      <c r="H1590" s="1" t="s">
        <v>18</v>
      </c>
      <c r="I1590" s="1" t="s">
        <v>4467</v>
      </c>
      <c r="J1590" s="1" t="s">
        <v>4468</v>
      </c>
      <c r="K1590" s="5">
        <v>44475.0</v>
      </c>
      <c r="L1590" s="5">
        <v>44475.0</v>
      </c>
      <c r="M1590" s="5">
        <v>44575.0</v>
      </c>
      <c r="N1590" s="1" t="s">
        <v>4481</v>
      </c>
    </row>
    <row r="1591" hidden="1">
      <c r="A1591" s="1" t="s">
        <v>202</v>
      </c>
      <c r="B1591" s="1" t="s">
        <v>25</v>
      </c>
      <c r="C1591" s="1" t="s">
        <v>4482</v>
      </c>
      <c r="D1591" s="1" t="str">
        <f>Vlookup(C1591,'Oil &amp; Gas Documents - Canada'!F:M,2,FALSE)</f>
        <v>#N/A</v>
      </c>
      <c r="E1591" s="1" t="str">
        <f>Vlookup(C1591,'Oil &amp; Gas Documents - Canada'!F:N,9,FALSE)</f>
        <v>#N/A</v>
      </c>
      <c r="F1591" s="1" t="s">
        <v>4483</v>
      </c>
      <c r="G1591" s="4" t="str">
        <f>HYPERLINK("http://nimonikapp.com/legislations/1090","http://nimonikapp.com/legislations/1090")</f>
        <v>http://nimonikapp.com/legislations/1090</v>
      </c>
      <c r="H1591" s="1" t="s">
        <v>18</v>
      </c>
      <c r="I1591" s="1" t="s">
        <v>4467</v>
      </c>
      <c r="J1591" s="1" t="s">
        <v>4468</v>
      </c>
      <c r="K1591" s="5">
        <v>44475.0</v>
      </c>
      <c r="L1591" s="5">
        <v>44475.0</v>
      </c>
      <c r="M1591" s="5">
        <v>44575.0</v>
      </c>
      <c r="N1591" s="1" t="s">
        <v>4481</v>
      </c>
    </row>
    <row r="1592" hidden="1">
      <c r="A1592" s="1" t="s">
        <v>202</v>
      </c>
      <c r="B1592" s="1" t="s">
        <v>25</v>
      </c>
      <c r="C1592" s="1" t="s">
        <v>1741</v>
      </c>
      <c r="D1592" s="1" t="str">
        <f>Vlookup(C1592,'Oil &amp; Gas Documents - Canada'!F:M,2,FALSE)</f>
        <v>#N/A</v>
      </c>
      <c r="E1592" s="1" t="str">
        <f>Vlookup(C1592,'Oil &amp; Gas Documents - Canada'!F:N,9,FALSE)</f>
        <v>#N/A</v>
      </c>
      <c r="F1592" s="1" t="s">
        <v>1742</v>
      </c>
      <c r="G1592" s="4" t="str">
        <f>HYPERLINK("http://nimonikapp.com/legislations/1072","http://nimonikapp.com/legislations/1072")</f>
        <v>http://nimonikapp.com/legislations/1072</v>
      </c>
      <c r="H1592" s="1" t="s">
        <v>18</v>
      </c>
      <c r="I1592" s="1" t="s">
        <v>4467</v>
      </c>
      <c r="J1592" s="1" t="s">
        <v>4468</v>
      </c>
      <c r="K1592" s="5">
        <v>44475.0</v>
      </c>
      <c r="L1592" s="5">
        <v>44475.0</v>
      </c>
      <c r="M1592" s="5">
        <v>44575.0</v>
      </c>
      <c r="N1592" s="1" t="s">
        <v>1745</v>
      </c>
    </row>
    <row r="1593" hidden="1">
      <c r="A1593" s="1" t="s">
        <v>202</v>
      </c>
      <c r="B1593" s="1" t="s">
        <v>25</v>
      </c>
      <c r="C1593" s="1" t="s">
        <v>2061</v>
      </c>
      <c r="D1593" s="1" t="str">
        <f>Vlookup(C1593,'Oil &amp; Gas Documents - Canada'!F:M,2,FALSE)</f>
        <v>#N/A</v>
      </c>
      <c r="E1593" s="1" t="str">
        <f>Vlookup(C1593,'Oil &amp; Gas Documents - Canada'!F:N,9,FALSE)</f>
        <v>#N/A</v>
      </c>
      <c r="F1593" s="1" t="s">
        <v>2062</v>
      </c>
      <c r="G1593" s="4" t="str">
        <f>HYPERLINK("http://nimonikapp.com/legislations/45","http://nimonikapp.com/legislations/45")</f>
        <v>http://nimonikapp.com/legislations/45</v>
      </c>
      <c r="H1593" s="1" t="s">
        <v>18</v>
      </c>
      <c r="I1593" s="1" t="s">
        <v>4467</v>
      </c>
      <c r="J1593" s="1" t="s">
        <v>4468</v>
      </c>
      <c r="K1593" s="5">
        <v>44475.0</v>
      </c>
      <c r="L1593" s="5">
        <v>44475.0</v>
      </c>
      <c r="M1593" s="5">
        <v>44575.0</v>
      </c>
      <c r="N1593" s="1" t="s">
        <v>2063</v>
      </c>
    </row>
    <row r="1594" hidden="1">
      <c r="A1594" s="1" t="s">
        <v>202</v>
      </c>
      <c r="B1594" s="1" t="s">
        <v>25</v>
      </c>
      <c r="C1594" s="1" t="s">
        <v>4484</v>
      </c>
      <c r="D1594" s="1" t="str">
        <f>Vlookup(C1594,'Oil &amp; Gas Documents - Canada'!F:M,2,FALSE)</f>
        <v>#N/A</v>
      </c>
      <c r="E1594" s="1" t="str">
        <f>Vlookup(C1594,'Oil &amp; Gas Documents - Canada'!F:N,9,FALSE)</f>
        <v>#N/A</v>
      </c>
      <c r="F1594" s="1" t="s">
        <v>4485</v>
      </c>
      <c r="G1594" s="4" t="str">
        <f>HYPERLINK("http://nimonikapp.com/legislations/128435","http://nimonikapp.com/legislations/128435")</f>
        <v>http://nimonikapp.com/legislations/128435</v>
      </c>
      <c r="H1594" s="1" t="s">
        <v>18</v>
      </c>
      <c r="I1594" s="1" t="s">
        <v>4486</v>
      </c>
      <c r="J1594" s="1" t="s">
        <v>4487</v>
      </c>
      <c r="K1594" s="5">
        <v>44533.0</v>
      </c>
      <c r="L1594" s="5">
        <v>44562.0</v>
      </c>
      <c r="M1594" s="5">
        <v>44575.0</v>
      </c>
      <c r="N1594" s="1" t="s">
        <v>4488</v>
      </c>
    </row>
    <row r="1595" hidden="1">
      <c r="A1595" s="1" t="s">
        <v>202</v>
      </c>
      <c r="B1595" s="1" t="s">
        <v>25</v>
      </c>
      <c r="C1595" s="1" t="s">
        <v>4489</v>
      </c>
      <c r="D1595" s="1" t="str">
        <f>Vlookup(C1595,'Oil &amp; Gas Documents - Canada'!F:M,2,FALSE)</f>
        <v>#N/A</v>
      </c>
      <c r="E1595" s="1" t="str">
        <f>Vlookup(C1595,'Oil &amp; Gas Documents - Canada'!F:N,9,FALSE)</f>
        <v>#N/A</v>
      </c>
      <c r="F1595" s="1" t="s">
        <v>4490</v>
      </c>
      <c r="G1595" s="4" t="str">
        <f>HYPERLINK("http://nimonikapp.com/legislations/6181","http://nimonikapp.com/legislations/6181")</f>
        <v>http://nimonikapp.com/legislations/6181</v>
      </c>
      <c r="H1595" s="1" t="s">
        <v>18</v>
      </c>
      <c r="I1595" s="1" t="s">
        <v>4486</v>
      </c>
      <c r="J1595" s="1" t="s">
        <v>4487</v>
      </c>
      <c r="K1595" s="5">
        <v>44533.0</v>
      </c>
      <c r="L1595" s="5">
        <v>44562.0</v>
      </c>
      <c r="M1595" s="5">
        <v>44575.0</v>
      </c>
      <c r="N1595" s="1" t="s">
        <v>4488</v>
      </c>
    </row>
    <row r="1596" hidden="1">
      <c r="A1596" s="1" t="s">
        <v>202</v>
      </c>
      <c r="B1596" s="1" t="s">
        <v>25</v>
      </c>
      <c r="C1596" s="1" t="s">
        <v>4491</v>
      </c>
      <c r="D1596" s="1" t="str">
        <f>Vlookup(C1596,'Oil &amp; Gas Documents - Canada'!F:M,2,FALSE)</f>
        <v>#N/A</v>
      </c>
      <c r="E1596" s="1" t="str">
        <f>Vlookup(C1596,'Oil &amp; Gas Documents - Canada'!F:N,9,FALSE)</f>
        <v>#N/A</v>
      </c>
      <c r="F1596" s="1" t="s">
        <v>4492</v>
      </c>
      <c r="G1596" s="4" t="str">
        <f>HYPERLINK("http://nimonikapp.com/legislations/6974","http://nimonikapp.com/legislations/6974")</f>
        <v>http://nimonikapp.com/legislations/6974</v>
      </c>
      <c r="H1596" s="1" t="s">
        <v>18</v>
      </c>
      <c r="I1596" s="1" t="s">
        <v>4486</v>
      </c>
      <c r="J1596" s="1" t="s">
        <v>4487</v>
      </c>
      <c r="K1596" s="5">
        <v>44533.0</v>
      </c>
      <c r="L1596" s="5">
        <v>44562.0</v>
      </c>
      <c r="M1596" s="5">
        <v>44575.0</v>
      </c>
    </row>
    <row r="1597" hidden="1">
      <c r="A1597" s="1" t="s">
        <v>202</v>
      </c>
      <c r="B1597" s="1" t="s">
        <v>25</v>
      </c>
      <c r="C1597" s="1" t="s">
        <v>4493</v>
      </c>
      <c r="D1597" s="1" t="str">
        <f>Vlookup(C1597,'Oil &amp; Gas Documents - Canada'!F:M,2,FALSE)</f>
        <v>#N/A</v>
      </c>
      <c r="E1597" s="1" t="str">
        <f>Vlookup(C1597,'Oil &amp; Gas Documents - Canada'!F:N,9,FALSE)</f>
        <v>#N/A</v>
      </c>
      <c r="F1597" s="1" t="s">
        <v>1318</v>
      </c>
      <c r="G1597" s="4" t="str">
        <f>HYPERLINK("http://nimonikapp.com/legislations/6182","http://nimonikapp.com/legislations/6182")</f>
        <v>http://nimonikapp.com/legislations/6182</v>
      </c>
      <c r="H1597" s="1" t="s">
        <v>18</v>
      </c>
      <c r="I1597" s="1" t="s">
        <v>4486</v>
      </c>
      <c r="J1597" s="1" t="s">
        <v>4487</v>
      </c>
      <c r="K1597" s="5">
        <v>44533.0</v>
      </c>
      <c r="L1597" s="5">
        <v>44562.0</v>
      </c>
      <c r="M1597" s="5">
        <v>44575.0</v>
      </c>
      <c r="N1597" s="1" t="s">
        <v>4488</v>
      </c>
    </row>
    <row r="1598" hidden="1">
      <c r="A1598" s="1" t="s">
        <v>24</v>
      </c>
      <c r="B1598" s="1" t="s">
        <v>15</v>
      </c>
      <c r="C1598" s="1" t="s">
        <v>4494</v>
      </c>
      <c r="D1598" s="1" t="str">
        <f>Vlookup(C1598,'Oil &amp; Gas Documents - Canada'!F:M,2,FALSE)</f>
        <v>#N/A</v>
      </c>
      <c r="E1598" s="1" t="str">
        <f>Vlookup(C1598,'Oil &amp; Gas Documents - Canada'!F:N,9,FALSE)</f>
        <v>#N/A</v>
      </c>
      <c r="F1598" s="1" t="s">
        <v>4495</v>
      </c>
      <c r="G1598" s="4" t="str">
        <f>HYPERLINK("http://nimonikapp.com/legislations/319767","http://nimonikapp.com/legislations/319767")</f>
        <v>http://nimonikapp.com/legislations/319767</v>
      </c>
      <c r="H1598" s="1" t="s">
        <v>69</v>
      </c>
      <c r="K1598" s="5">
        <v>44571.0</v>
      </c>
      <c r="M1598" s="5">
        <v>44574.0</v>
      </c>
    </row>
    <row r="1599">
      <c r="A1599" s="1" t="s">
        <v>70</v>
      </c>
      <c r="B1599" s="1" t="s">
        <v>15</v>
      </c>
      <c r="C1599" s="1" t="s">
        <v>718</v>
      </c>
      <c r="D1599" s="1" t="str">
        <f>Vlookup(C1599,'Oil &amp; Gas Documents - Canada'!F:M,2,FALSE)</f>
        <v>oil_and_gas, mining_and_minerals_industry</v>
      </c>
      <c r="E1599" s="1" t="str">
        <f>Vlookup(C1599,'Oil &amp; Gas Documents - Canada'!F:N,9,FALSE)</f>
        <v/>
      </c>
      <c r="F1599" s="1" t="s">
        <v>717</v>
      </c>
      <c r="G1599" s="4" t="str">
        <f>HYPERLINK("http://nimonikapp.com/legislations/319764","http://nimonikapp.com/legislations/319764")</f>
        <v>http://nimonikapp.com/legislations/319764</v>
      </c>
      <c r="H1599" s="1" t="s">
        <v>516</v>
      </c>
      <c r="K1599" s="5">
        <v>44572.0</v>
      </c>
      <c r="M1599" s="5">
        <v>44574.0</v>
      </c>
    </row>
    <row r="1600" hidden="1">
      <c r="A1600" s="1" t="s">
        <v>202</v>
      </c>
      <c r="B1600" s="1" t="s">
        <v>25</v>
      </c>
      <c r="C1600" s="1" t="s">
        <v>3032</v>
      </c>
      <c r="D1600" s="1" t="str">
        <f>Vlookup(C1600,'Oil &amp; Gas Documents - Canada'!F:M,2,FALSE)</f>
        <v>#N/A</v>
      </c>
      <c r="E1600" s="1" t="str">
        <f>Vlookup(C1600,'Oil &amp; Gas Documents - Canada'!F:N,9,FALSE)</f>
        <v>#N/A</v>
      </c>
      <c r="F1600" s="1" t="s">
        <v>3033</v>
      </c>
      <c r="G1600" s="4" t="str">
        <f>HYPERLINK("http://nimonikapp.com/legislations/31","http://nimonikapp.com/legislations/31")</f>
        <v>http://nimonikapp.com/legislations/31</v>
      </c>
      <c r="H1600" s="1" t="s">
        <v>18</v>
      </c>
      <c r="I1600" s="1" t="s">
        <v>4496</v>
      </c>
      <c r="J1600" s="1" t="s">
        <v>4497</v>
      </c>
      <c r="K1600" s="5">
        <v>44563.0</v>
      </c>
      <c r="M1600" s="5">
        <v>44574.0</v>
      </c>
      <c r="N1600" s="1" t="s">
        <v>3034</v>
      </c>
    </row>
    <row r="1601" hidden="1">
      <c r="A1601" s="1" t="s">
        <v>73</v>
      </c>
      <c r="B1601" s="1" t="s">
        <v>25</v>
      </c>
      <c r="C1601" s="1" t="s">
        <v>1033</v>
      </c>
      <c r="D1601" s="1" t="str">
        <f>Vlookup(C1601,'Oil &amp; Gas Documents - Canada'!F:M,2,FALSE)</f>
        <v>#N/A</v>
      </c>
      <c r="E1601" s="1" t="str">
        <f>Vlookup(C1601,'Oil &amp; Gas Documents - Canada'!F:N,9,FALSE)</f>
        <v>#N/A</v>
      </c>
      <c r="F1601" s="1" t="s">
        <v>1034</v>
      </c>
      <c r="G1601" s="4" t="str">
        <f t="shared" ref="G1601:G1613" si="35">HYPERLINK("http://nimonikapp.com/legislations/895","http://nimonikapp.com/legislations/895")</f>
        <v>http://nimonikapp.com/legislations/895</v>
      </c>
      <c r="H1601" s="1" t="s">
        <v>18</v>
      </c>
      <c r="I1601" s="1" t="s">
        <v>4498</v>
      </c>
      <c r="J1601" s="1" t="s">
        <v>4499</v>
      </c>
      <c r="K1601" s="5">
        <v>44566.0</v>
      </c>
      <c r="L1601" s="5">
        <v>44551.0</v>
      </c>
      <c r="M1601" s="5">
        <v>44574.0</v>
      </c>
      <c r="N1601" s="1" t="s">
        <v>1037</v>
      </c>
    </row>
    <row r="1602" hidden="1">
      <c r="A1602" s="1" t="s">
        <v>73</v>
      </c>
      <c r="B1602" s="1" t="s">
        <v>25</v>
      </c>
      <c r="C1602" s="1" t="s">
        <v>1033</v>
      </c>
      <c r="D1602" s="1" t="str">
        <f>Vlookup(C1602,'Oil &amp; Gas Documents - Canada'!F:M,2,FALSE)</f>
        <v>#N/A</v>
      </c>
      <c r="E1602" s="1" t="str">
        <f>Vlookup(C1602,'Oil &amp; Gas Documents - Canada'!F:N,9,FALSE)</f>
        <v>#N/A</v>
      </c>
      <c r="F1602" s="1" t="s">
        <v>1034</v>
      </c>
      <c r="G1602" s="4" t="str">
        <f t="shared" si="35"/>
        <v>http://nimonikapp.com/legislations/895</v>
      </c>
      <c r="H1602" s="1" t="s">
        <v>18</v>
      </c>
      <c r="I1602" s="1" t="s">
        <v>4500</v>
      </c>
      <c r="J1602" s="1" t="s">
        <v>4501</v>
      </c>
      <c r="K1602" s="5">
        <v>44566.0</v>
      </c>
      <c r="L1602" s="5">
        <v>44551.0</v>
      </c>
      <c r="M1602" s="5">
        <v>44574.0</v>
      </c>
      <c r="N1602" s="1" t="s">
        <v>1037</v>
      </c>
    </row>
    <row r="1603" hidden="1">
      <c r="A1603" s="1" t="s">
        <v>73</v>
      </c>
      <c r="B1603" s="1" t="s">
        <v>25</v>
      </c>
      <c r="C1603" s="1" t="s">
        <v>1033</v>
      </c>
      <c r="D1603" s="1" t="str">
        <f>Vlookup(C1603,'Oil &amp; Gas Documents - Canada'!F:M,2,FALSE)</f>
        <v>#N/A</v>
      </c>
      <c r="E1603" s="1" t="str">
        <f>Vlookup(C1603,'Oil &amp; Gas Documents - Canada'!F:N,9,FALSE)</f>
        <v>#N/A</v>
      </c>
      <c r="F1603" s="1" t="s">
        <v>1034</v>
      </c>
      <c r="G1603" s="4" t="str">
        <f t="shared" si="35"/>
        <v>http://nimonikapp.com/legislations/895</v>
      </c>
      <c r="H1603" s="1" t="s">
        <v>18</v>
      </c>
      <c r="I1603" s="1" t="s">
        <v>4502</v>
      </c>
      <c r="J1603" s="1" t="s">
        <v>4503</v>
      </c>
      <c r="K1603" s="5">
        <v>44566.0</v>
      </c>
      <c r="L1603" s="5">
        <v>44551.0</v>
      </c>
      <c r="M1603" s="5">
        <v>44574.0</v>
      </c>
      <c r="N1603" s="1" t="s">
        <v>1037</v>
      </c>
    </row>
    <row r="1604" hidden="1">
      <c r="A1604" s="1" t="s">
        <v>73</v>
      </c>
      <c r="B1604" s="1" t="s">
        <v>25</v>
      </c>
      <c r="C1604" s="1" t="s">
        <v>1033</v>
      </c>
      <c r="D1604" s="1" t="str">
        <f>Vlookup(C1604,'Oil &amp; Gas Documents - Canada'!F:M,2,FALSE)</f>
        <v>#N/A</v>
      </c>
      <c r="E1604" s="1" t="str">
        <f>Vlookup(C1604,'Oil &amp; Gas Documents - Canada'!F:N,9,FALSE)</f>
        <v>#N/A</v>
      </c>
      <c r="F1604" s="1" t="s">
        <v>1034</v>
      </c>
      <c r="G1604" s="4" t="str">
        <f t="shared" si="35"/>
        <v>http://nimonikapp.com/legislations/895</v>
      </c>
      <c r="H1604" s="1" t="s">
        <v>18</v>
      </c>
      <c r="I1604" s="1" t="s">
        <v>4504</v>
      </c>
      <c r="J1604" s="1" t="s">
        <v>4505</v>
      </c>
      <c r="K1604" s="5">
        <v>44566.0</v>
      </c>
      <c r="L1604" s="5">
        <v>44547.0</v>
      </c>
      <c r="M1604" s="5">
        <v>44574.0</v>
      </c>
      <c r="N1604" s="1" t="s">
        <v>1037</v>
      </c>
    </row>
    <row r="1605" hidden="1">
      <c r="A1605" s="1" t="s">
        <v>73</v>
      </c>
      <c r="B1605" s="1" t="s">
        <v>25</v>
      </c>
      <c r="C1605" s="1" t="s">
        <v>1033</v>
      </c>
      <c r="D1605" s="1" t="str">
        <f>Vlookup(C1605,'Oil &amp; Gas Documents - Canada'!F:M,2,FALSE)</f>
        <v>#N/A</v>
      </c>
      <c r="E1605" s="1" t="str">
        <f>Vlookup(C1605,'Oil &amp; Gas Documents - Canada'!F:N,9,FALSE)</f>
        <v>#N/A</v>
      </c>
      <c r="F1605" s="1" t="s">
        <v>1034</v>
      </c>
      <c r="G1605" s="4" t="str">
        <f t="shared" si="35"/>
        <v>http://nimonikapp.com/legislations/895</v>
      </c>
      <c r="H1605" s="1" t="s">
        <v>18</v>
      </c>
      <c r="I1605" s="1" t="s">
        <v>4506</v>
      </c>
      <c r="J1605" s="1" t="s">
        <v>4507</v>
      </c>
      <c r="K1605" s="5">
        <v>44566.0</v>
      </c>
      <c r="L1605" s="5">
        <v>44551.0</v>
      </c>
      <c r="M1605" s="5">
        <v>44574.0</v>
      </c>
      <c r="N1605" s="1" t="s">
        <v>1037</v>
      </c>
    </row>
    <row r="1606" hidden="1">
      <c r="A1606" s="1" t="s">
        <v>73</v>
      </c>
      <c r="B1606" s="1" t="s">
        <v>25</v>
      </c>
      <c r="C1606" s="1" t="s">
        <v>1033</v>
      </c>
      <c r="D1606" s="1" t="str">
        <f>Vlookup(C1606,'Oil &amp; Gas Documents - Canada'!F:M,2,FALSE)</f>
        <v>#N/A</v>
      </c>
      <c r="E1606" s="1" t="str">
        <f>Vlookup(C1606,'Oil &amp; Gas Documents - Canada'!F:N,9,FALSE)</f>
        <v>#N/A</v>
      </c>
      <c r="F1606" s="1" t="s">
        <v>1034</v>
      </c>
      <c r="G1606" s="4" t="str">
        <f t="shared" si="35"/>
        <v>http://nimonikapp.com/legislations/895</v>
      </c>
      <c r="H1606" s="1" t="s">
        <v>18</v>
      </c>
      <c r="I1606" s="1" t="s">
        <v>4508</v>
      </c>
      <c r="J1606" s="1" t="s">
        <v>4509</v>
      </c>
      <c r="K1606" s="5">
        <v>44566.0</v>
      </c>
      <c r="L1606" s="5">
        <v>44547.0</v>
      </c>
      <c r="M1606" s="5">
        <v>44574.0</v>
      </c>
      <c r="N1606" s="1" t="s">
        <v>1037</v>
      </c>
    </row>
    <row r="1607" hidden="1">
      <c r="A1607" s="1" t="s">
        <v>73</v>
      </c>
      <c r="B1607" s="1" t="s">
        <v>25</v>
      </c>
      <c r="C1607" s="1" t="s">
        <v>1033</v>
      </c>
      <c r="D1607" s="1" t="str">
        <f>Vlookup(C1607,'Oil &amp; Gas Documents - Canada'!F:M,2,FALSE)</f>
        <v>#N/A</v>
      </c>
      <c r="E1607" s="1" t="str">
        <f>Vlookup(C1607,'Oil &amp; Gas Documents - Canada'!F:N,9,FALSE)</f>
        <v>#N/A</v>
      </c>
      <c r="F1607" s="1" t="s">
        <v>1034</v>
      </c>
      <c r="G1607" s="4" t="str">
        <f t="shared" si="35"/>
        <v>http://nimonikapp.com/legislations/895</v>
      </c>
      <c r="H1607" s="1" t="s">
        <v>18</v>
      </c>
      <c r="I1607" s="1" t="s">
        <v>4510</v>
      </c>
      <c r="J1607" s="1" t="s">
        <v>4511</v>
      </c>
      <c r="K1607" s="5">
        <v>44566.0</v>
      </c>
      <c r="L1607" s="5">
        <v>44551.0</v>
      </c>
      <c r="M1607" s="5">
        <v>44574.0</v>
      </c>
      <c r="N1607" s="1" t="s">
        <v>1037</v>
      </c>
    </row>
    <row r="1608" hidden="1">
      <c r="A1608" s="1" t="s">
        <v>73</v>
      </c>
      <c r="B1608" s="1" t="s">
        <v>25</v>
      </c>
      <c r="C1608" s="1" t="s">
        <v>1033</v>
      </c>
      <c r="D1608" s="1" t="str">
        <f>Vlookup(C1608,'Oil &amp; Gas Documents - Canada'!F:M,2,FALSE)</f>
        <v>#N/A</v>
      </c>
      <c r="E1608" s="1" t="str">
        <f>Vlookup(C1608,'Oil &amp; Gas Documents - Canada'!F:N,9,FALSE)</f>
        <v>#N/A</v>
      </c>
      <c r="F1608" s="1" t="s">
        <v>1034</v>
      </c>
      <c r="G1608" s="4" t="str">
        <f t="shared" si="35"/>
        <v>http://nimonikapp.com/legislations/895</v>
      </c>
      <c r="H1608" s="1" t="s">
        <v>18</v>
      </c>
      <c r="I1608" s="1" t="s">
        <v>4512</v>
      </c>
      <c r="J1608" s="1" t="s">
        <v>4513</v>
      </c>
      <c r="K1608" s="5">
        <v>44566.0</v>
      </c>
      <c r="L1608" s="5">
        <v>44551.0</v>
      </c>
      <c r="M1608" s="5">
        <v>44574.0</v>
      </c>
      <c r="N1608" s="1" t="s">
        <v>1037</v>
      </c>
    </row>
    <row r="1609" hidden="1">
      <c r="A1609" s="1" t="s">
        <v>73</v>
      </c>
      <c r="B1609" s="1" t="s">
        <v>25</v>
      </c>
      <c r="C1609" s="1" t="s">
        <v>1033</v>
      </c>
      <c r="D1609" s="1" t="str">
        <f>Vlookup(C1609,'Oil &amp; Gas Documents - Canada'!F:M,2,FALSE)</f>
        <v>#N/A</v>
      </c>
      <c r="E1609" s="1" t="str">
        <f>Vlookup(C1609,'Oil &amp; Gas Documents - Canada'!F:N,9,FALSE)</f>
        <v>#N/A</v>
      </c>
      <c r="F1609" s="1" t="s">
        <v>1034</v>
      </c>
      <c r="G1609" s="4" t="str">
        <f t="shared" si="35"/>
        <v>http://nimonikapp.com/legislations/895</v>
      </c>
      <c r="H1609" s="1" t="s">
        <v>18</v>
      </c>
      <c r="I1609" s="1" t="s">
        <v>4514</v>
      </c>
      <c r="J1609" s="1" t="s">
        <v>4515</v>
      </c>
      <c r="K1609" s="5">
        <v>44566.0</v>
      </c>
      <c r="L1609" s="5">
        <v>44551.0</v>
      </c>
      <c r="M1609" s="5">
        <v>44574.0</v>
      </c>
      <c r="N1609" s="1" t="s">
        <v>1037</v>
      </c>
    </row>
    <row r="1610" hidden="1">
      <c r="A1610" s="1" t="s">
        <v>73</v>
      </c>
      <c r="B1610" s="1" t="s">
        <v>25</v>
      </c>
      <c r="C1610" s="1" t="s">
        <v>1033</v>
      </c>
      <c r="D1610" s="1" t="str">
        <f>Vlookup(C1610,'Oil &amp; Gas Documents - Canada'!F:M,2,FALSE)</f>
        <v>#N/A</v>
      </c>
      <c r="E1610" s="1" t="str">
        <f>Vlookup(C1610,'Oil &amp; Gas Documents - Canada'!F:N,9,FALSE)</f>
        <v>#N/A</v>
      </c>
      <c r="F1610" s="1" t="s">
        <v>1034</v>
      </c>
      <c r="G1610" s="4" t="str">
        <f t="shared" si="35"/>
        <v>http://nimonikapp.com/legislations/895</v>
      </c>
      <c r="H1610" s="1" t="s">
        <v>18</v>
      </c>
      <c r="I1610" s="1" t="s">
        <v>4516</v>
      </c>
      <c r="J1610" s="1" t="s">
        <v>4517</v>
      </c>
      <c r="K1610" s="5">
        <v>44566.0</v>
      </c>
      <c r="L1610" s="5">
        <v>44551.0</v>
      </c>
      <c r="M1610" s="5">
        <v>44574.0</v>
      </c>
      <c r="N1610" s="1" t="s">
        <v>1037</v>
      </c>
    </row>
    <row r="1611" hidden="1">
      <c r="A1611" s="1" t="s">
        <v>73</v>
      </c>
      <c r="B1611" s="1" t="s">
        <v>25</v>
      </c>
      <c r="C1611" s="1" t="s">
        <v>1033</v>
      </c>
      <c r="D1611" s="1" t="str">
        <f>Vlookup(C1611,'Oil &amp; Gas Documents - Canada'!F:M,2,FALSE)</f>
        <v>#N/A</v>
      </c>
      <c r="E1611" s="1" t="str">
        <f>Vlookup(C1611,'Oil &amp; Gas Documents - Canada'!F:N,9,FALSE)</f>
        <v>#N/A</v>
      </c>
      <c r="F1611" s="1" t="s">
        <v>1034</v>
      </c>
      <c r="G1611" s="4" t="str">
        <f t="shared" si="35"/>
        <v>http://nimonikapp.com/legislations/895</v>
      </c>
      <c r="H1611" s="1" t="s">
        <v>18</v>
      </c>
      <c r="I1611" s="1" t="s">
        <v>4518</v>
      </c>
      <c r="J1611" s="1" t="s">
        <v>4519</v>
      </c>
      <c r="K1611" s="5">
        <v>44566.0</v>
      </c>
      <c r="L1611" s="5">
        <v>44551.0</v>
      </c>
      <c r="M1611" s="5">
        <v>44574.0</v>
      </c>
      <c r="N1611" s="1" t="s">
        <v>1037</v>
      </c>
    </row>
    <row r="1612" hidden="1">
      <c r="A1612" s="1" t="s">
        <v>73</v>
      </c>
      <c r="B1612" s="1" t="s">
        <v>25</v>
      </c>
      <c r="C1612" s="1" t="s">
        <v>1033</v>
      </c>
      <c r="D1612" s="1" t="str">
        <f>Vlookup(C1612,'Oil &amp; Gas Documents - Canada'!F:M,2,FALSE)</f>
        <v>#N/A</v>
      </c>
      <c r="E1612" s="1" t="str">
        <f>Vlookup(C1612,'Oil &amp; Gas Documents - Canada'!F:N,9,FALSE)</f>
        <v>#N/A</v>
      </c>
      <c r="F1612" s="1" t="s">
        <v>1034</v>
      </c>
      <c r="G1612" s="4" t="str">
        <f t="shared" si="35"/>
        <v>http://nimonikapp.com/legislations/895</v>
      </c>
      <c r="H1612" s="1" t="s">
        <v>18</v>
      </c>
      <c r="I1612" s="1" t="s">
        <v>4520</v>
      </c>
      <c r="J1612" s="1" t="s">
        <v>4521</v>
      </c>
      <c r="K1612" s="5">
        <v>44566.0</v>
      </c>
      <c r="L1612" s="5">
        <v>44547.0</v>
      </c>
      <c r="M1612" s="5">
        <v>44574.0</v>
      </c>
      <c r="N1612" s="1" t="s">
        <v>1037</v>
      </c>
    </row>
    <row r="1613" hidden="1">
      <c r="A1613" s="1" t="s">
        <v>73</v>
      </c>
      <c r="B1613" s="1" t="s">
        <v>25</v>
      </c>
      <c r="C1613" s="1" t="s">
        <v>1033</v>
      </c>
      <c r="D1613" s="1" t="str">
        <f>Vlookup(C1613,'Oil &amp; Gas Documents - Canada'!F:M,2,FALSE)</f>
        <v>#N/A</v>
      </c>
      <c r="E1613" s="1" t="str">
        <f>Vlookup(C1613,'Oil &amp; Gas Documents - Canada'!F:N,9,FALSE)</f>
        <v>#N/A</v>
      </c>
      <c r="F1613" s="1" t="s">
        <v>1034</v>
      </c>
      <c r="G1613" s="4" t="str">
        <f t="shared" si="35"/>
        <v>http://nimonikapp.com/legislations/895</v>
      </c>
      <c r="H1613" s="1" t="s">
        <v>18</v>
      </c>
      <c r="I1613" s="1" t="s">
        <v>4522</v>
      </c>
      <c r="J1613" s="1" t="s">
        <v>4523</v>
      </c>
      <c r="K1613" s="5">
        <v>44566.0</v>
      </c>
      <c r="L1613" s="5">
        <v>44547.0</v>
      </c>
      <c r="M1613" s="5">
        <v>44574.0</v>
      </c>
      <c r="N1613" s="1" t="s">
        <v>1037</v>
      </c>
    </row>
    <row r="1614" hidden="1">
      <c r="A1614" s="1" t="s">
        <v>73</v>
      </c>
      <c r="B1614" s="1" t="s">
        <v>25</v>
      </c>
      <c r="C1614" s="1" t="s">
        <v>1069</v>
      </c>
      <c r="D1614" s="1" t="str">
        <f>Vlookup(C1614,'Oil &amp; Gas Documents - Canada'!F:M,2,FALSE)</f>
        <v>#N/A</v>
      </c>
      <c r="E1614" s="1" t="str">
        <f>Vlookup(C1614,'Oil &amp; Gas Documents - Canada'!F:N,9,FALSE)</f>
        <v>#N/A</v>
      </c>
      <c r="F1614" s="1" t="s">
        <v>1070</v>
      </c>
      <c r="G1614" s="4" t="str">
        <f t="shared" ref="G1614:G1616" si="36">HYPERLINK("http://nimonikapp.com/legislations/897","http://nimonikapp.com/legislations/897")</f>
        <v>http://nimonikapp.com/legislations/897</v>
      </c>
      <c r="H1614" s="1" t="s">
        <v>18</v>
      </c>
      <c r="I1614" s="1" t="s">
        <v>4524</v>
      </c>
      <c r="J1614" s="1" t="s">
        <v>4525</v>
      </c>
      <c r="K1614" s="5">
        <v>44569.0</v>
      </c>
      <c r="L1614" s="5">
        <v>44551.0</v>
      </c>
      <c r="M1614" s="5">
        <v>44574.0</v>
      </c>
      <c r="N1614" s="1" t="s">
        <v>1073</v>
      </c>
    </row>
    <row r="1615" hidden="1">
      <c r="A1615" s="1" t="s">
        <v>73</v>
      </c>
      <c r="B1615" s="1" t="s">
        <v>25</v>
      </c>
      <c r="C1615" s="1" t="s">
        <v>1069</v>
      </c>
      <c r="D1615" s="1" t="str">
        <f>Vlookup(C1615,'Oil &amp; Gas Documents - Canada'!F:M,2,FALSE)</f>
        <v>#N/A</v>
      </c>
      <c r="E1615" s="1" t="str">
        <f>Vlookup(C1615,'Oil &amp; Gas Documents - Canada'!F:N,9,FALSE)</f>
        <v>#N/A</v>
      </c>
      <c r="F1615" s="1" t="s">
        <v>1070</v>
      </c>
      <c r="G1615" s="4" t="str">
        <f t="shared" si="36"/>
        <v>http://nimonikapp.com/legislations/897</v>
      </c>
      <c r="H1615" s="1" t="s">
        <v>18</v>
      </c>
      <c r="I1615" s="1" t="s">
        <v>4526</v>
      </c>
      <c r="J1615" s="1" t="s">
        <v>4527</v>
      </c>
      <c r="K1615" s="5">
        <v>44569.0</v>
      </c>
      <c r="L1615" s="5">
        <v>44551.0</v>
      </c>
      <c r="M1615" s="5">
        <v>44574.0</v>
      </c>
      <c r="N1615" s="1" t="s">
        <v>1073</v>
      </c>
    </row>
    <row r="1616" hidden="1">
      <c r="A1616" s="1" t="s">
        <v>73</v>
      </c>
      <c r="B1616" s="1" t="s">
        <v>25</v>
      </c>
      <c r="C1616" s="1" t="s">
        <v>1069</v>
      </c>
      <c r="D1616" s="1" t="str">
        <f>Vlookup(C1616,'Oil &amp; Gas Documents - Canada'!F:M,2,FALSE)</f>
        <v>#N/A</v>
      </c>
      <c r="E1616" s="1" t="str">
        <f>Vlookup(C1616,'Oil &amp; Gas Documents - Canada'!F:N,9,FALSE)</f>
        <v>#N/A</v>
      </c>
      <c r="F1616" s="1" t="s">
        <v>1070</v>
      </c>
      <c r="G1616" s="4" t="str">
        <f t="shared" si="36"/>
        <v>http://nimonikapp.com/legislations/897</v>
      </c>
      <c r="H1616" s="1" t="s">
        <v>18</v>
      </c>
      <c r="I1616" s="1" t="s">
        <v>4528</v>
      </c>
      <c r="J1616" s="1" t="s">
        <v>4529</v>
      </c>
      <c r="K1616" s="5">
        <v>44569.0</v>
      </c>
      <c r="L1616" s="5">
        <v>44551.0</v>
      </c>
      <c r="M1616" s="5">
        <v>44574.0</v>
      </c>
      <c r="N1616" s="1" t="s">
        <v>1073</v>
      </c>
    </row>
    <row r="1617" hidden="1">
      <c r="A1617" s="1" t="s">
        <v>73</v>
      </c>
      <c r="B1617" s="1" t="s">
        <v>364</v>
      </c>
      <c r="C1617" s="1" t="s">
        <v>4530</v>
      </c>
      <c r="D1617" s="1" t="str">
        <f>Vlookup(C1617,'Oil &amp; Gas Documents - Canada'!F:M,2,FALSE)</f>
        <v>#N/A</v>
      </c>
      <c r="E1617" s="1" t="str">
        <f>Vlookup(C1617,'Oil &amp; Gas Documents - Canada'!F:N,9,FALSE)</f>
        <v>#N/A</v>
      </c>
      <c r="F1617" s="1" t="s">
        <v>4531</v>
      </c>
      <c r="G1617" s="4" t="str">
        <f>HYPERLINK("http://nimonikapp.com/legislations/319201","http://nimonikapp.com/legislations/319201")</f>
        <v>http://nimonikapp.com/legislations/319201</v>
      </c>
      <c r="H1617" s="1" t="s">
        <v>356</v>
      </c>
      <c r="I1617" s="1" t="s">
        <v>4458</v>
      </c>
      <c r="J1617" s="1" t="s">
        <v>4459</v>
      </c>
      <c r="K1617" s="5">
        <v>44569.0</v>
      </c>
      <c r="L1617" s="5">
        <v>44550.0</v>
      </c>
      <c r="M1617" s="5">
        <v>44574.0</v>
      </c>
      <c r="N1617" s="1" t="s">
        <v>4532</v>
      </c>
    </row>
    <row r="1618" hidden="1">
      <c r="A1618" s="1" t="s">
        <v>73</v>
      </c>
      <c r="B1618" s="1" t="s">
        <v>25</v>
      </c>
      <c r="C1618" s="1" t="s">
        <v>1069</v>
      </c>
      <c r="D1618" s="1" t="str">
        <f>Vlookup(C1618,'Oil &amp; Gas Documents - Canada'!F:M,2,FALSE)</f>
        <v>#N/A</v>
      </c>
      <c r="E1618" s="1" t="str">
        <f>Vlookup(C1618,'Oil &amp; Gas Documents - Canada'!F:N,9,FALSE)</f>
        <v>#N/A</v>
      </c>
      <c r="F1618" s="1" t="s">
        <v>1070</v>
      </c>
      <c r="G1618" s="4" t="str">
        <f>HYPERLINK("http://nimonikapp.com/legislations/897","http://nimonikapp.com/legislations/897")</f>
        <v>http://nimonikapp.com/legislations/897</v>
      </c>
      <c r="H1618" s="1" t="s">
        <v>18</v>
      </c>
      <c r="I1618" s="1" t="s">
        <v>4533</v>
      </c>
      <c r="J1618" s="1" t="s">
        <v>4534</v>
      </c>
      <c r="K1618" s="5">
        <v>44569.0</v>
      </c>
      <c r="L1618" s="5">
        <v>44551.0</v>
      </c>
      <c r="M1618" s="5">
        <v>44574.0</v>
      </c>
      <c r="N1618" s="1" t="s">
        <v>1073</v>
      </c>
    </row>
    <row r="1619" hidden="1">
      <c r="A1619" s="1" t="s">
        <v>73</v>
      </c>
      <c r="B1619" s="1" t="s">
        <v>352</v>
      </c>
      <c r="C1619" s="1" t="s">
        <v>4535</v>
      </c>
      <c r="D1619" s="1" t="str">
        <f>Vlookup(C1619,'Oil &amp; Gas Documents - Canada'!F:M,2,FALSE)</f>
        <v>#N/A</v>
      </c>
      <c r="E1619" s="1" t="str">
        <f>Vlookup(C1619,'Oil &amp; Gas Documents - Canada'!F:N,9,FALSE)</f>
        <v>#N/A</v>
      </c>
      <c r="F1619" s="1" t="s">
        <v>4536</v>
      </c>
      <c r="G1619" s="4" t="str">
        <f>HYPERLINK("http://nimonikapp.com/legislations/319471","http://nimonikapp.com/legislations/319471")</f>
        <v>http://nimonikapp.com/legislations/319471</v>
      </c>
      <c r="H1619" s="1" t="s">
        <v>356</v>
      </c>
      <c r="I1619" s="1" t="s">
        <v>4537</v>
      </c>
      <c r="J1619" s="1" t="s">
        <v>4538</v>
      </c>
      <c r="K1619" s="5">
        <v>44569.0</v>
      </c>
      <c r="L1619" s="5">
        <v>44553.0</v>
      </c>
      <c r="M1619" s="5">
        <v>44574.0</v>
      </c>
      <c r="N1619" s="1" t="s">
        <v>4539</v>
      </c>
    </row>
    <row r="1620" hidden="1">
      <c r="A1620" s="1" t="s">
        <v>202</v>
      </c>
      <c r="B1620" s="1" t="s">
        <v>25</v>
      </c>
      <c r="C1620" s="1" t="s">
        <v>3752</v>
      </c>
      <c r="D1620" s="1" t="str">
        <f>Vlookup(C1620,'Oil &amp; Gas Documents - Canada'!F:M,2,FALSE)</f>
        <v>#N/A</v>
      </c>
      <c r="E1620" s="1" t="str">
        <f>Vlookup(C1620,'Oil &amp; Gas Documents - Canada'!F:N,9,FALSE)</f>
        <v>#N/A</v>
      </c>
      <c r="F1620" s="1" t="s">
        <v>3753</v>
      </c>
      <c r="G1620" s="4" t="str">
        <f>HYPERLINK("http://nimonikapp.com/legislations/158472","http://nimonikapp.com/legislations/158472")</f>
        <v>http://nimonikapp.com/legislations/158472</v>
      </c>
      <c r="H1620" s="1" t="s">
        <v>356</v>
      </c>
      <c r="I1620" s="1" t="s">
        <v>4540</v>
      </c>
      <c r="J1620" s="1" t="s">
        <v>4541</v>
      </c>
      <c r="K1620" s="5">
        <v>44567.0</v>
      </c>
      <c r="L1620" s="5">
        <v>44560.0</v>
      </c>
      <c r="M1620" s="5">
        <v>44574.0</v>
      </c>
      <c r="N1620" s="1" t="s">
        <v>3748</v>
      </c>
    </row>
    <row r="1621" hidden="1">
      <c r="A1621" s="1" t="s">
        <v>202</v>
      </c>
      <c r="B1621" s="1" t="s">
        <v>25</v>
      </c>
      <c r="C1621" s="1" t="s">
        <v>4089</v>
      </c>
      <c r="D1621" s="1" t="str">
        <f>Vlookup(C1621,'Oil &amp; Gas Documents - Canada'!F:M,2,FALSE)</f>
        <v>#N/A</v>
      </c>
      <c r="E1621" s="1" t="str">
        <f>Vlookup(C1621,'Oil &amp; Gas Documents - Canada'!F:N,9,FALSE)</f>
        <v>#N/A</v>
      </c>
      <c r="F1621" s="1" t="s">
        <v>1410</v>
      </c>
      <c r="G1621" s="4" t="str">
        <f t="shared" ref="G1621:G1622" si="37">HYPERLINK("http://nimonikapp.com/legislations/297642","http://nimonikapp.com/legislations/297642")</f>
        <v>http://nimonikapp.com/legislations/297642</v>
      </c>
      <c r="H1621" s="1" t="s">
        <v>18</v>
      </c>
      <c r="I1621" s="1" t="s">
        <v>4542</v>
      </c>
      <c r="J1621" s="1" t="s">
        <v>4543</v>
      </c>
      <c r="K1621" s="5">
        <v>44567.0</v>
      </c>
      <c r="L1621" s="5">
        <v>44561.0</v>
      </c>
      <c r="M1621" s="5">
        <v>44574.0</v>
      </c>
      <c r="N1621" s="1" t="s">
        <v>4091</v>
      </c>
    </row>
    <row r="1622" hidden="1">
      <c r="A1622" s="1" t="s">
        <v>202</v>
      </c>
      <c r="B1622" s="1" t="s">
        <v>25</v>
      </c>
      <c r="C1622" s="1" t="s">
        <v>4089</v>
      </c>
      <c r="D1622" s="1" t="str">
        <f>Vlookup(C1622,'Oil &amp; Gas Documents - Canada'!F:M,2,FALSE)</f>
        <v>#N/A</v>
      </c>
      <c r="E1622" s="1" t="str">
        <f>Vlookup(C1622,'Oil &amp; Gas Documents - Canada'!F:N,9,FALSE)</f>
        <v>#N/A</v>
      </c>
      <c r="F1622" s="1" t="s">
        <v>1410</v>
      </c>
      <c r="G1622" s="4" t="str">
        <f t="shared" si="37"/>
        <v>http://nimonikapp.com/legislations/297642</v>
      </c>
      <c r="H1622" s="1" t="s">
        <v>18</v>
      </c>
      <c r="I1622" s="1" t="s">
        <v>4544</v>
      </c>
      <c r="J1622" s="1" t="s">
        <v>4545</v>
      </c>
      <c r="K1622" s="5">
        <v>44567.0</v>
      </c>
      <c r="L1622" s="5">
        <v>44563.0</v>
      </c>
      <c r="M1622" s="5">
        <v>44574.0</v>
      </c>
      <c r="N1622" s="1" t="s">
        <v>4091</v>
      </c>
    </row>
    <row r="1623" hidden="1">
      <c r="A1623" s="1" t="s">
        <v>73</v>
      </c>
      <c r="B1623" s="1" t="s">
        <v>25</v>
      </c>
      <c r="C1623" s="1" t="s">
        <v>2589</v>
      </c>
      <c r="D1623" s="1" t="str">
        <f>Vlookup(C1623,'Oil &amp; Gas Documents - Canada'!F:M,2,FALSE)</f>
        <v>#N/A</v>
      </c>
      <c r="E1623" s="1" t="str">
        <f>Vlookup(C1623,'Oil &amp; Gas Documents - Canada'!F:N,9,FALSE)</f>
        <v>#N/A</v>
      </c>
      <c r="F1623" s="1" t="s">
        <v>2590</v>
      </c>
      <c r="G1623" s="4" t="str">
        <f>HYPERLINK("http://nimonikapp.com/legislations/13493","http://nimonikapp.com/legislations/13493")</f>
        <v>http://nimonikapp.com/legislations/13493</v>
      </c>
      <c r="H1623" s="1" t="s">
        <v>18</v>
      </c>
      <c r="I1623" s="1" t="s">
        <v>4546</v>
      </c>
      <c r="J1623" s="1" t="s">
        <v>4547</v>
      </c>
      <c r="K1623" s="5">
        <v>44566.0</v>
      </c>
      <c r="L1623" s="5">
        <v>44927.0</v>
      </c>
      <c r="M1623" s="5">
        <v>44574.0</v>
      </c>
      <c r="N1623" s="1" t="s">
        <v>2593</v>
      </c>
    </row>
    <row r="1624">
      <c r="A1624" s="1" t="s">
        <v>70</v>
      </c>
      <c r="B1624" s="1" t="s">
        <v>15</v>
      </c>
      <c r="C1624" s="1" t="s">
        <v>720</v>
      </c>
      <c r="D1624" s="1" t="s">
        <v>26</v>
      </c>
      <c r="E1624" s="1" t="str">
        <f>Vlookup(C1624,'Oil &amp; Gas Documents - Canada'!F:N,9,FALSE)</f>
        <v>#N/A</v>
      </c>
      <c r="F1624" s="1" t="s">
        <v>719</v>
      </c>
      <c r="G1624" s="4" t="str">
        <f>HYPERLINK("http://nimonikapp.com/legislations/319444","http://nimonikapp.com/legislations/319444")</f>
        <v>http://nimonikapp.com/legislations/319444</v>
      </c>
      <c r="H1624" s="1" t="s">
        <v>69</v>
      </c>
      <c r="K1624" s="5">
        <v>44571.0</v>
      </c>
      <c r="M1624" s="5">
        <v>44573.0</v>
      </c>
    </row>
    <row r="1625" hidden="1">
      <c r="A1625" s="1" t="s">
        <v>202</v>
      </c>
      <c r="B1625" s="1" t="s">
        <v>15</v>
      </c>
      <c r="C1625" s="1" t="s">
        <v>4548</v>
      </c>
      <c r="D1625" s="1" t="str">
        <f>Vlookup(C1625,'Oil &amp; Gas Documents - Canada'!F:M,2,FALSE)</f>
        <v>#N/A</v>
      </c>
      <c r="E1625" s="1" t="str">
        <f>Vlookup(C1625,'Oil &amp; Gas Documents - Canada'!F:N,9,FALSE)</f>
        <v>#N/A</v>
      </c>
      <c r="F1625" s="1" t="s">
        <v>4063</v>
      </c>
      <c r="G1625" s="4" t="str">
        <f>HYPERLINK("http://nimonikapp.com/legislations/319456","http://nimonikapp.com/legislations/319456")</f>
        <v>http://nimonikapp.com/legislations/319456</v>
      </c>
      <c r="H1625" s="1" t="s">
        <v>516</v>
      </c>
      <c r="K1625" s="5">
        <v>44566.0</v>
      </c>
      <c r="M1625" s="5">
        <v>44573.0</v>
      </c>
    </row>
    <row r="1626" hidden="1">
      <c r="A1626" s="1" t="s">
        <v>73</v>
      </c>
      <c r="B1626" s="1" t="s">
        <v>15</v>
      </c>
      <c r="C1626" s="1" t="s">
        <v>4549</v>
      </c>
      <c r="D1626" s="1" t="str">
        <f>Vlookup(C1626,'Oil &amp; Gas Documents - Canada'!F:M,2,FALSE)</f>
        <v>#N/A</v>
      </c>
      <c r="E1626" s="1" t="str">
        <f>Vlookup(C1626,'Oil &amp; Gas Documents - Canada'!F:N,9,FALSE)</f>
        <v>#N/A</v>
      </c>
      <c r="F1626" s="1" t="s">
        <v>4550</v>
      </c>
      <c r="G1626" s="4" t="str">
        <f>HYPERLINK("http://nimonikapp.com/legislations/319446","http://nimonikapp.com/legislations/319446")</f>
        <v>http://nimonikapp.com/legislations/319446</v>
      </c>
      <c r="H1626" s="1" t="s">
        <v>516</v>
      </c>
      <c r="K1626" s="5">
        <v>44562.0</v>
      </c>
      <c r="M1626" s="5">
        <v>44573.0</v>
      </c>
    </row>
    <row r="1627" hidden="1">
      <c r="A1627" s="1" t="s">
        <v>202</v>
      </c>
      <c r="B1627" s="1" t="s">
        <v>25</v>
      </c>
      <c r="C1627" s="1" t="s">
        <v>4089</v>
      </c>
      <c r="D1627" s="1" t="str">
        <f>Vlookup(C1627,'Oil &amp; Gas Documents - Canada'!F:M,2,FALSE)</f>
        <v>#N/A</v>
      </c>
      <c r="E1627" s="1" t="str">
        <f>Vlookup(C1627,'Oil &amp; Gas Documents - Canada'!F:N,9,FALSE)</f>
        <v>#N/A</v>
      </c>
      <c r="F1627" s="1" t="s">
        <v>1410</v>
      </c>
      <c r="G1627" s="4" t="str">
        <f>HYPERLINK("http://nimonikapp.com/legislations/297642","http://nimonikapp.com/legislations/297642")</f>
        <v>http://nimonikapp.com/legislations/297642</v>
      </c>
      <c r="H1627" s="1" t="s">
        <v>18</v>
      </c>
      <c r="I1627" s="1" t="s">
        <v>4551</v>
      </c>
      <c r="J1627" s="1" t="s">
        <v>4552</v>
      </c>
      <c r="K1627" s="5">
        <v>44560.0</v>
      </c>
      <c r="L1627" s="5">
        <v>44552.0</v>
      </c>
      <c r="M1627" s="5">
        <v>44573.0</v>
      </c>
      <c r="N1627" s="1" t="s">
        <v>4091</v>
      </c>
    </row>
    <row r="1628" hidden="1">
      <c r="A1628" s="1" t="s">
        <v>202</v>
      </c>
      <c r="B1628" s="1" t="s">
        <v>25</v>
      </c>
      <c r="C1628" s="1" t="s">
        <v>3749</v>
      </c>
      <c r="D1628" s="1" t="str">
        <f>Vlookup(C1628,'Oil &amp; Gas Documents - Canada'!F:M,2,FALSE)</f>
        <v>#N/A</v>
      </c>
      <c r="E1628" s="1" t="str">
        <f>Vlookup(C1628,'Oil &amp; Gas Documents - Canada'!F:N,9,FALSE)</f>
        <v>#N/A</v>
      </c>
      <c r="F1628" s="1" t="s">
        <v>1410</v>
      </c>
      <c r="G1628" s="4" t="str">
        <f>HYPERLINK("http://nimonikapp.com/legislations/318991","http://nimonikapp.com/legislations/318991")</f>
        <v>http://nimonikapp.com/legislations/318991</v>
      </c>
      <c r="H1628" s="1" t="s">
        <v>356</v>
      </c>
      <c r="I1628" s="1" t="s">
        <v>4553</v>
      </c>
      <c r="J1628" s="1" t="s">
        <v>4554</v>
      </c>
      <c r="K1628" s="5">
        <v>44560.0</v>
      </c>
      <c r="L1628" s="5">
        <v>44553.0</v>
      </c>
      <c r="M1628" s="5">
        <v>44573.0</v>
      </c>
      <c r="N1628" s="1" t="s">
        <v>3748</v>
      </c>
    </row>
    <row r="1629" hidden="1">
      <c r="A1629" s="1" t="s">
        <v>202</v>
      </c>
      <c r="B1629" s="1" t="s">
        <v>25</v>
      </c>
      <c r="C1629" s="1" t="s">
        <v>4555</v>
      </c>
      <c r="D1629" s="1" t="str">
        <f>Vlookup(C1629,'Oil &amp; Gas Documents - Canada'!F:M,2,FALSE)</f>
        <v>#N/A</v>
      </c>
      <c r="E1629" s="1" t="str">
        <f>Vlookup(C1629,'Oil &amp; Gas Documents - Canada'!F:N,9,FALSE)</f>
        <v>#N/A</v>
      </c>
      <c r="F1629" s="1" t="s">
        <v>1410</v>
      </c>
      <c r="G1629" s="4" t="str">
        <f>HYPERLINK("http://nimonikapp.com/legislations/292452","http://nimonikapp.com/legislations/292452")</f>
        <v>http://nimonikapp.com/legislations/292452</v>
      </c>
      <c r="H1629" s="1" t="s">
        <v>52</v>
      </c>
      <c r="I1629" s="1" t="s">
        <v>4553</v>
      </c>
      <c r="J1629" s="1" t="s">
        <v>4554</v>
      </c>
      <c r="K1629" s="5">
        <v>44560.0</v>
      </c>
      <c r="L1629" s="5">
        <v>44553.0</v>
      </c>
      <c r="M1629" s="5">
        <v>44573.0</v>
      </c>
      <c r="N1629" s="1" t="s">
        <v>4556</v>
      </c>
    </row>
    <row r="1630" hidden="1">
      <c r="A1630" s="1" t="s">
        <v>202</v>
      </c>
      <c r="B1630" s="1" t="s">
        <v>25</v>
      </c>
      <c r="C1630" s="1" t="s">
        <v>4557</v>
      </c>
      <c r="D1630" s="1" t="str">
        <f>Vlookup(C1630,'Oil &amp; Gas Documents - Canada'!F:M,2,FALSE)</f>
        <v>#N/A</v>
      </c>
      <c r="E1630" s="1" t="str">
        <f>Vlookup(C1630,'Oil &amp; Gas Documents - Canada'!F:N,9,FALSE)</f>
        <v>#N/A</v>
      </c>
      <c r="F1630" s="1" t="s">
        <v>4558</v>
      </c>
      <c r="G1630" s="4" t="str">
        <f>HYPERLINK("http://nimonikapp.com/legislations/3693","http://nimonikapp.com/legislations/3693")</f>
        <v>http://nimonikapp.com/legislations/3693</v>
      </c>
      <c r="H1630" s="1" t="s">
        <v>18</v>
      </c>
      <c r="I1630" s="1" t="s">
        <v>4559</v>
      </c>
      <c r="J1630" s="1" t="s">
        <v>4560</v>
      </c>
      <c r="K1630" s="5">
        <v>44563.0</v>
      </c>
      <c r="M1630" s="5">
        <v>44573.0</v>
      </c>
      <c r="N1630" s="1" t="s">
        <v>4561</v>
      </c>
    </row>
    <row r="1631" hidden="1">
      <c r="A1631" s="1" t="s">
        <v>202</v>
      </c>
      <c r="B1631" s="1" t="s">
        <v>25</v>
      </c>
      <c r="C1631" s="1" t="s">
        <v>4562</v>
      </c>
      <c r="D1631" s="1" t="str">
        <f>Vlookup(C1631,'Oil &amp; Gas Documents - Canada'!F:M,2,FALSE)</f>
        <v>#N/A</v>
      </c>
      <c r="E1631" s="1" t="str">
        <f>Vlookup(C1631,'Oil &amp; Gas Documents - Canada'!F:N,9,FALSE)</f>
        <v>#N/A</v>
      </c>
      <c r="F1631" s="1" t="s">
        <v>4563</v>
      </c>
      <c r="G1631" s="4" t="str">
        <f>HYPERLINK("http://nimonikapp.com/legislations/674","http://nimonikapp.com/legislations/674")</f>
        <v>http://nimonikapp.com/legislations/674</v>
      </c>
      <c r="H1631" s="1" t="s">
        <v>18</v>
      </c>
      <c r="I1631" s="1" t="s">
        <v>4564</v>
      </c>
      <c r="J1631" s="1" t="s">
        <v>4565</v>
      </c>
      <c r="K1631" s="5">
        <v>44563.0</v>
      </c>
      <c r="M1631" s="5">
        <v>44573.0</v>
      </c>
      <c r="N1631" s="1" t="s">
        <v>4561</v>
      </c>
    </row>
    <row r="1632" hidden="1">
      <c r="A1632" s="1" t="s">
        <v>202</v>
      </c>
      <c r="B1632" s="1" t="s">
        <v>25</v>
      </c>
      <c r="C1632" s="1" t="s">
        <v>1146</v>
      </c>
      <c r="D1632" s="1" t="str">
        <f>Vlookup(C1632,'Oil &amp; Gas Documents - Canada'!F:M,2,FALSE)</f>
        <v>#N/A</v>
      </c>
      <c r="E1632" s="1" t="str">
        <f>Vlookup(C1632,'Oil &amp; Gas Documents - Canada'!F:N,9,FALSE)</f>
        <v>#N/A</v>
      </c>
      <c r="F1632" s="1" t="s">
        <v>1147</v>
      </c>
      <c r="G1632" s="4" t="str">
        <f t="shared" ref="G1632:G1633" si="38">HYPERLINK("http://nimonikapp.com/legislations/989","http://nimonikapp.com/legislations/989")</f>
        <v>http://nimonikapp.com/legislations/989</v>
      </c>
      <c r="H1632" s="1" t="s">
        <v>18</v>
      </c>
      <c r="I1632" s="1" t="s">
        <v>4566</v>
      </c>
      <c r="J1632" s="1" t="s">
        <v>4567</v>
      </c>
      <c r="K1632" s="5">
        <v>44563.0</v>
      </c>
      <c r="M1632" s="5">
        <v>44573.0</v>
      </c>
      <c r="N1632" s="1" t="s">
        <v>1150</v>
      </c>
    </row>
    <row r="1633" hidden="1">
      <c r="A1633" s="1" t="s">
        <v>202</v>
      </c>
      <c r="B1633" s="1" t="s">
        <v>25</v>
      </c>
      <c r="C1633" s="1" t="s">
        <v>1146</v>
      </c>
      <c r="D1633" s="1" t="str">
        <f>Vlookup(C1633,'Oil &amp; Gas Documents - Canada'!F:M,2,FALSE)</f>
        <v>#N/A</v>
      </c>
      <c r="E1633" s="1" t="str">
        <f>Vlookup(C1633,'Oil &amp; Gas Documents - Canada'!F:N,9,FALSE)</f>
        <v>#N/A</v>
      </c>
      <c r="F1633" s="1" t="s">
        <v>1147</v>
      </c>
      <c r="G1633" s="4" t="str">
        <f t="shared" si="38"/>
        <v>http://nimonikapp.com/legislations/989</v>
      </c>
      <c r="H1633" s="1" t="s">
        <v>18</v>
      </c>
      <c r="I1633" s="1" t="s">
        <v>4568</v>
      </c>
      <c r="J1633" s="1" t="s">
        <v>4569</v>
      </c>
      <c r="K1633" s="5">
        <v>44563.0</v>
      </c>
      <c r="M1633" s="5">
        <v>44573.0</v>
      </c>
      <c r="N1633" s="1" t="s">
        <v>1150</v>
      </c>
    </row>
    <row r="1634" hidden="1">
      <c r="A1634" s="1" t="s">
        <v>202</v>
      </c>
      <c r="B1634" s="1" t="s">
        <v>25</v>
      </c>
      <c r="C1634" s="1" t="s">
        <v>1741</v>
      </c>
      <c r="D1634" s="1" t="str">
        <f>Vlookup(C1634,'Oil &amp; Gas Documents - Canada'!F:M,2,FALSE)</f>
        <v>#N/A</v>
      </c>
      <c r="E1634" s="1" t="str">
        <f>Vlookup(C1634,'Oil &amp; Gas Documents - Canada'!F:N,9,FALSE)</f>
        <v>#N/A</v>
      </c>
      <c r="F1634" s="1" t="s">
        <v>1742</v>
      </c>
      <c r="G1634" s="4" t="str">
        <f>HYPERLINK("http://nimonikapp.com/legislations/1072","http://nimonikapp.com/legislations/1072")</f>
        <v>http://nimonikapp.com/legislations/1072</v>
      </c>
      <c r="H1634" s="1" t="s">
        <v>18</v>
      </c>
      <c r="I1634" s="1" t="s">
        <v>4570</v>
      </c>
      <c r="J1634" s="1" t="s">
        <v>4571</v>
      </c>
      <c r="K1634" s="5">
        <v>44566.0</v>
      </c>
      <c r="L1634" s="5">
        <v>44657.0</v>
      </c>
      <c r="M1634" s="5">
        <v>44573.0</v>
      </c>
      <c r="N1634" s="1" t="s">
        <v>1745</v>
      </c>
    </row>
    <row r="1635">
      <c r="A1635" s="1" t="s">
        <v>73</v>
      </c>
      <c r="B1635" s="1" t="s">
        <v>25</v>
      </c>
      <c r="C1635" s="1" t="s">
        <v>722</v>
      </c>
      <c r="D1635" s="1" t="str">
        <f>Vlookup(C1635,'Oil &amp; Gas Documents - Canada'!F:M,2,FALSE)</f>
        <v>oil_and_gas</v>
      </c>
      <c r="E1635" s="1" t="str">
        <f>Vlookup(C1635,'Oil &amp; Gas Documents - Canada'!F:N,9,FALSE)</f>
        <v/>
      </c>
      <c r="F1635" s="1" t="s">
        <v>721</v>
      </c>
      <c r="G1635" s="4" t="str">
        <f>HYPERLINK("http://nimonikapp.com/legislations/133314","http://nimonikapp.com/legislations/133314")</f>
        <v>http://nimonikapp.com/legislations/133314</v>
      </c>
      <c r="H1635" s="1" t="s">
        <v>18</v>
      </c>
      <c r="I1635" s="1" t="s">
        <v>723</v>
      </c>
      <c r="J1635" s="1" t="s">
        <v>724</v>
      </c>
      <c r="K1635" s="5">
        <v>44566.0</v>
      </c>
      <c r="L1635" s="5">
        <v>44551.0</v>
      </c>
      <c r="M1635" s="5">
        <v>44573.0</v>
      </c>
    </row>
    <row r="1636" hidden="1">
      <c r="A1636" s="1" t="s">
        <v>73</v>
      </c>
      <c r="B1636" s="1" t="s">
        <v>25</v>
      </c>
      <c r="C1636" s="1" t="s">
        <v>4125</v>
      </c>
      <c r="D1636" s="1" t="str">
        <f>Vlookup(C1636,'Oil &amp; Gas Documents - Canada'!F:M,2,FALSE)</f>
        <v>#N/A</v>
      </c>
      <c r="E1636" s="1" t="str">
        <f>Vlookup(C1636,'Oil &amp; Gas Documents - Canada'!F:N,9,FALSE)</f>
        <v>#N/A</v>
      </c>
      <c r="F1636" s="1" t="s">
        <v>4126</v>
      </c>
      <c r="G1636" s="4" t="str">
        <f>HYPERLINK("http://nimonikapp.com/legislations/1217","http://nimonikapp.com/legislations/1217")</f>
        <v>http://nimonikapp.com/legislations/1217</v>
      </c>
      <c r="H1636" s="1" t="s">
        <v>18</v>
      </c>
      <c r="I1636" s="1" t="s">
        <v>4572</v>
      </c>
      <c r="J1636" s="1" t="s">
        <v>4573</v>
      </c>
      <c r="K1636" s="5">
        <v>44566.0</v>
      </c>
      <c r="L1636" s="5">
        <v>44566.0</v>
      </c>
      <c r="M1636" s="5">
        <v>44573.0</v>
      </c>
      <c r="N1636" s="1" t="s">
        <v>4129</v>
      </c>
    </row>
    <row r="1637" hidden="1">
      <c r="A1637" s="1" t="s">
        <v>73</v>
      </c>
      <c r="B1637" s="1" t="s">
        <v>25</v>
      </c>
      <c r="C1637" s="1" t="s">
        <v>1703</v>
      </c>
      <c r="D1637" s="1" t="str">
        <f>Vlookup(C1637,'Oil &amp; Gas Documents - Canada'!F:M,2,FALSE)</f>
        <v>#N/A</v>
      </c>
      <c r="E1637" s="1" t="str">
        <f>Vlookup(C1637,'Oil &amp; Gas Documents - Canada'!F:N,9,FALSE)</f>
        <v>#N/A</v>
      </c>
      <c r="F1637" s="1" t="s">
        <v>1704</v>
      </c>
      <c r="G1637" s="4" t="str">
        <f>HYPERLINK("http://nimonikapp.com/legislations/116860","http://nimonikapp.com/legislations/116860")</f>
        <v>http://nimonikapp.com/legislations/116860</v>
      </c>
      <c r="H1637" s="1" t="s">
        <v>18</v>
      </c>
      <c r="I1637" s="1" t="s">
        <v>4574</v>
      </c>
      <c r="J1637" s="1" t="s">
        <v>4575</v>
      </c>
      <c r="K1637" s="5">
        <v>44566.0</v>
      </c>
      <c r="L1637" s="5">
        <v>44566.0</v>
      </c>
      <c r="M1637" s="5">
        <v>44573.0</v>
      </c>
      <c r="N1637" s="1" t="s">
        <v>1705</v>
      </c>
    </row>
    <row r="1638" hidden="1">
      <c r="A1638" s="1" t="s">
        <v>73</v>
      </c>
      <c r="B1638" s="1" t="s">
        <v>364</v>
      </c>
      <c r="C1638" s="1" t="s">
        <v>4576</v>
      </c>
      <c r="D1638" s="1" t="str">
        <f>Vlookup(C1638,'Oil &amp; Gas Documents - Canada'!F:M,2,FALSE)</f>
        <v>#N/A</v>
      </c>
      <c r="E1638" s="1" t="str">
        <f>Vlookup(C1638,'Oil &amp; Gas Documents - Canada'!F:N,9,FALSE)</f>
        <v>#N/A</v>
      </c>
      <c r="F1638" s="1" t="s">
        <v>4577</v>
      </c>
      <c r="G1638" s="4" t="str">
        <f>HYPERLINK("http://nimonikapp.com/legislations/318805","http://nimonikapp.com/legislations/318805")</f>
        <v>http://nimonikapp.com/legislations/318805</v>
      </c>
      <c r="H1638" s="1" t="s">
        <v>356</v>
      </c>
      <c r="I1638" s="1" t="s">
        <v>4535</v>
      </c>
      <c r="J1638" s="1" t="s">
        <v>4536</v>
      </c>
      <c r="K1638" s="5">
        <v>44562.0</v>
      </c>
      <c r="L1638" s="5">
        <v>44538.0</v>
      </c>
      <c r="M1638" s="5">
        <v>44573.0</v>
      </c>
    </row>
    <row r="1639" hidden="1">
      <c r="A1639" s="1" t="s">
        <v>202</v>
      </c>
      <c r="B1639" s="1" t="s">
        <v>352</v>
      </c>
      <c r="C1639" s="1" t="s">
        <v>4578</v>
      </c>
      <c r="D1639" s="1" t="str">
        <f>Vlookup(C1639,'Oil &amp; Gas Documents - Canada'!F:M,2,FALSE)</f>
        <v>#N/A</v>
      </c>
      <c r="E1639" s="1" t="str">
        <f>Vlookup(C1639,'Oil &amp; Gas Documents - Canada'!F:N,9,FALSE)</f>
        <v>#N/A</v>
      </c>
      <c r="F1639" s="1" t="s">
        <v>4579</v>
      </c>
      <c r="G1639" s="4" t="str">
        <f>HYPERLINK("http://nimonikapp.com/legislations/932","http://nimonikapp.com/legislations/932")</f>
        <v>http://nimonikapp.com/legislations/932</v>
      </c>
      <c r="H1639" s="1" t="s">
        <v>356</v>
      </c>
      <c r="I1639" s="1" t="s">
        <v>725</v>
      </c>
      <c r="J1639" s="1" t="s">
        <v>726</v>
      </c>
      <c r="K1639" s="5">
        <v>44566.0</v>
      </c>
      <c r="L1639" s="5">
        <v>44621.0</v>
      </c>
      <c r="M1639" s="5">
        <v>44573.0</v>
      </c>
      <c r="N1639" s="1" t="s">
        <v>4580</v>
      </c>
    </row>
    <row r="1640" hidden="1">
      <c r="A1640" s="1" t="s">
        <v>202</v>
      </c>
      <c r="B1640" s="1" t="s">
        <v>25</v>
      </c>
      <c r="C1640" s="1" t="s">
        <v>4581</v>
      </c>
      <c r="D1640" s="1" t="str">
        <f>Vlookup(C1640,'Oil &amp; Gas Documents - Canada'!F:M,2,FALSE)</f>
        <v>#N/A</v>
      </c>
      <c r="E1640" s="1" t="str">
        <f>Vlookup(C1640,'Oil &amp; Gas Documents - Canada'!F:N,9,FALSE)</f>
        <v>#N/A</v>
      </c>
      <c r="F1640" s="1" t="s">
        <v>4582</v>
      </c>
      <c r="G1640" s="4" t="str">
        <f>HYPERLINK("http://nimonikapp.com/legislations/995","http://nimonikapp.com/legislations/995")</f>
        <v>http://nimonikapp.com/legislations/995</v>
      </c>
      <c r="H1640" s="1" t="s">
        <v>18</v>
      </c>
      <c r="I1640" s="1" t="s">
        <v>725</v>
      </c>
      <c r="J1640" s="1" t="s">
        <v>726</v>
      </c>
      <c r="K1640" s="5">
        <v>44566.0</v>
      </c>
      <c r="L1640" s="5">
        <v>44621.0</v>
      </c>
      <c r="M1640" s="5">
        <v>44573.0</v>
      </c>
      <c r="N1640" s="1" t="s">
        <v>4583</v>
      </c>
    </row>
    <row r="1641" hidden="1">
      <c r="A1641" s="1" t="s">
        <v>202</v>
      </c>
      <c r="B1641" s="1" t="s">
        <v>25</v>
      </c>
      <c r="C1641" s="1" t="s">
        <v>1921</v>
      </c>
      <c r="D1641" s="1" t="str">
        <f>Vlookup(C1641,'Oil &amp; Gas Documents - Canada'!F:M,2,FALSE)</f>
        <v>#N/A</v>
      </c>
      <c r="E1641" s="1" t="str">
        <f>Vlookup(C1641,'Oil &amp; Gas Documents - Canada'!F:N,9,FALSE)</f>
        <v>#N/A</v>
      </c>
      <c r="F1641" s="1" t="s">
        <v>1922</v>
      </c>
      <c r="G1641" s="4" t="str">
        <f>HYPERLINK("http://nimonikapp.com/legislations/942","http://nimonikapp.com/legislations/942")</f>
        <v>http://nimonikapp.com/legislations/942</v>
      </c>
      <c r="H1641" s="1" t="s">
        <v>18</v>
      </c>
      <c r="I1641" s="1" t="s">
        <v>725</v>
      </c>
      <c r="J1641" s="1" t="s">
        <v>726</v>
      </c>
      <c r="K1641" s="5">
        <v>44566.0</v>
      </c>
      <c r="L1641" s="5">
        <v>44621.0</v>
      </c>
      <c r="M1641" s="5">
        <v>44573.0</v>
      </c>
      <c r="N1641" s="1" t="s">
        <v>1925</v>
      </c>
    </row>
    <row r="1642" hidden="1">
      <c r="A1642" s="1" t="s">
        <v>202</v>
      </c>
      <c r="B1642" s="1" t="s">
        <v>25</v>
      </c>
      <c r="C1642" s="1" t="s">
        <v>1659</v>
      </c>
      <c r="D1642" s="1" t="str">
        <f>Vlookup(C1642,'Oil &amp; Gas Documents - Canada'!F:M,2,FALSE)</f>
        <v>#N/A</v>
      </c>
      <c r="E1642" s="1" t="str">
        <f>Vlookup(C1642,'Oil &amp; Gas Documents - Canada'!F:N,9,FALSE)</f>
        <v>#N/A</v>
      </c>
      <c r="F1642" s="1" t="s">
        <v>1660</v>
      </c>
      <c r="G1642" s="4" t="str">
        <f>HYPERLINK("http://nimonikapp.com/legislations/268529","http://nimonikapp.com/legislations/268529")</f>
        <v>http://nimonikapp.com/legislations/268529</v>
      </c>
      <c r="H1642" s="1" t="s">
        <v>18</v>
      </c>
      <c r="I1642" s="1" t="s">
        <v>725</v>
      </c>
      <c r="J1642" s="1" t="s">
        <v>726</v>
      </c>
      <c r="K1642" s="5">
        <v>44566.0</v>
      </c>
      <c r="L1642" s="5">
        <v>44621.0</v>
      </c>
      <c r="M1642" s="5">
        <v>44573.0</v>
      </c>
      <c r="N1642" s="1" t="s">
        <v>1661</v>
      </c>
    </row>
    <row r="1643">
      <c r="A1643" s="1" t="s">
        <v>202</v>
      </c>
      <c r="B1643" s="1" t="s">
        <v>25</v>
      </c>
      <c r="C1643" s="1" t="s">
        <v>204</v>
      </c>
      <c r="D1643" s="1" t="s">
        <v>26</v>
      </c>
      <c r="E1643" s="1" t="str">
        <f>Vlookup(C1643,'Oil &amp; Gas Documents - Canada'!F:N,9,FALSE)</f>
        <v>#N/A</v>
      </c>
      <c r="F1643" s="1" t="s">
        <v>203</v>
      </c>
      <c r="G1643" s="4" t="str">
        <f>HYPERLINK("http://nimonikapp.com/legislations/268535","http://nimonikapp.com/legislations/268535")</f>
        <v>http://nimonikapp.com/legislations/268535</v>
      </c>
      <c r="H1643" s="1" t="s">
        <v>18</v>
      </c>
      <c r="I1643" s="1" t="s">
        <v>725</v>
      </c>
      <c r="J1643" s="1" t="s">
        <v>726</v>
      </c>
      <c r="K1643" s="5">
        <v>44566.0</v>
      </c>
      <c r="L1643" s="5">
        <v>44621.0</v>
      </c>
      <c r="M1643" s="5">
        <v>44573.0</v>
      </c>
      <c r="N1643" s="1" t="s">
        <v>205</v>
      </c>
    </row>
    <row r="1644" hidden="1">
      <c r="A1644" s="1" t="s">
        <v>202</v>
      </c>
      <c r="B1644" s="1" t="s">
        <v>25</v>
      </c>
      <c r="C1644" s="1" t="s">
        <v>3750</v>
      </c>
      <c r="D1644" s="1" t="str">
        <f>Vlookup(C1644,'Oil &amp; Gas Documents - Canada'!F:M,2,FALSE)</f>
        <v>#N/A</v>
      </c>
      <c r="E1644" s="1" t="str">
        <f>Vlookup(C1644,'Oil &amp; Gas Documents - Canada'!F:N,9,FALSE)</f>
        <v>#N/A</v>
      </c>
      <c r="F1644" s="1" t="s">
        <v>1410</v>
      </c>
      <c r="G1644" s="4" t="str">
        <f>HYPERLINK("http://nimonikapp.com/legislations/312927","http://nimonikapp.com/legislations/312927")</f>
        <v>http://nimonikapp.com/legislations/312927</v>
      </c>
      <c r="H1644" s="1" t="s">
        <v>356</v>
      </c>
      <c r="I1644" s="1" t="s">
        <v>4584</v>
      </c>
      <c r="J1644" s="1" t="s">
        <v>4585</v>
      </c>
      <c r="K1644" s="5">
        <v>44553.0</v>
      </c>
      <c r="L1644" s="5">
        <v>44546.0</v>
      </c>
      <c r="M1644" s="5">
        <v>44572.0</v>
      </c>
      <c r="N1644" s="1" t="s">
        <v>3748</v>
      </c>
    </row>
    <row r="1645" hidden="1">
      <c r="A1645" s="1" t="s">
        <v>202</v>
      </c>
      <c r="B1645" s="1" t="s">
        <v>25</v>
      </c>
      <c r="C1645" s="1" t="s">
        <v>4089</v>
      </c>
      <c r="D1645" s="1" t="str">
        <f>Vlookup(C1645,'Oil &amp; Gas Documents - Canada'!F:M,2,FALSE)</f>
        <v>#N/A</v>
      </c>
      <c r="E1645" s="1" t="str">
        <f>Vlookup(C1645,'Oil &amp; Gas Documents - Canada'!F:N,9,FALSE)</f>
        <v>#N/A</v>
      </c>
      <c r="F1645" s="1" t="s">
        <v>1410</v>
      </c>
      <c r="G1645" s="4" t="str">
        <f t="shared" ref="G1645:G1646" si="39">HYPERLINK("http://nimonikapp.com/legislations/297642","http://nimonikapp.com/legislations/297642")</f>
        <v>http://nimonikapp.com/legislations/297642</v>
      </c>
      <c r="H1645" s="1" t="s">
        <v>18</v>
      </c>
      <c r="I1645" s="1" t="s">
        <v>4586</v>
      </c>
      <c r="J1645" s="1" t="s">
        <v>4587</v>
      </c>
      <c r="K1645" s="5">
        <v>44553.0</v>
      </c>
      <c r="L1645" s="5">
        <v>44550.0</v>
      </c>
      <c r="M1645" s="5">
        <v>44572.0</v>
      </c>
      <c r="N1645" s="1" t="s">
        <v>4091</v>
      </c>
    </row>
    <row r="1646" hidden="1">
      <c r="A1646" s="1" t="s">
        <v>202</v>
      </c>
      <c r="B1646" s="1" t="s">
        <v>25</v>
      </c>
      <c r="C1646" s="1" t="s">
        <v>4089</v>
      </c>
      <c r="D1646" s="1" t="str">
        <f>Vlookup(C1646,'Oil &amp; Gas Documents - Canada'!F:M,2,FALSE)</f>
        <v>#N/A</v>
      </c>
      <c r="E1646" s="1" t="str">
        <f>Vlookup(C1646,'Oil &amp; Gas Documents - Canada'!F:N,9,FALSE)</f>
        <v>#N/A</v>
      </c>
      <c r="F1646" s="1" t="s">
        <v>1410</v>
      </c>
      <c r="G1646" s="4" t="str">
        <f t="shared" si="39"/>
        <v>http://nimonikapp.com/legislations/297642</v>
      </c>
      <c r="H1646" s="1" t="s">
        <v>18</v>
      </c>
      <c r="I1646" s="1" t="s">
        <v>4588</v>
      </c>
      <c r="J1646" s="1" t="s">
        <v>4589</v>
      </c>
      <c r="K1646" s="5">
        <v>44553.0</v>
      </c>
      <c r="L1646" s="5">
        <v>44550.0</v>
      </c>
      <c r="M1646" s="5">
        <v>44572.0</v>
      </c>
      <c r="N1646" s="1" t="s">
        <v>4091</v>
      </c>
    </row>
    <row r="1647" hidden="1">
      <c r="A1647" s="1" t="s">
        <v>202</v>
      </c>
      <c r="B1647" s="1" t="s">
        <v>25</v>
      </c>
      <c r="C1647" s="1" t="s">
        <v>4339</v>
      </c>
      <c r="D1647" s="1" t="str">
        <f>Vlookup(C1647,'Oil &amp; Gas Documents - Canada'!F:M,2,FALSE)</f>
        <v>#N/A</v>
      </c>
      <c r="E1647" s="1" t="str">
        <f>Vlookup(C1647,'Oil &amp; Gas Documents - Canada'!F:N,9,FALSE)</f>
        <v>#N/A</v>
      </c>
      <c r="F1647" s="1" t="s">
        <v>1410</v>
      </c>
      <c r="G1647" s="4" t="str">
        <f>HYPERLINK("http://nimonikapp.com/legislations/272853","http://nimonikapp.com/legislations/272853")</f>
        <v>http://nimonikapp.com/legislations/272853</v>
      </c>
      <c r="H1647" s="1" t="s">
        <v>18</v>
      </c>
      <c r="I1647" s="1" t="s">
        <v>4590</v>
      </c>
      <c r="J1647" s="1" t="s">
        <v>4591</v>
      </c>
      <c r="K1647" s="5">
        <v>44553.0</v>
      </c>
      <c r="L1647" s="5">
        <v>44551.0</v>
      </c>
      <c r="M1647" s="5">
        <v>44572.0</v>
      </c>
      <c r="N1647" s="1" t="s">
        <v>4341</v>
      </c>
    </row>
    <row r="1648" hidden="1">
      <c r="A1648" s="1" t="s">
        <v>202</v>
      </c>
      <c r="B1648" s="1" t="s">
        <v>25</v>
      </c>
      <c r="C1648" s="1" t="s">
        <v>4592</v>
      </c>
      <c r="D1648" s="1" t="str">
        <f>Vlookup(C1648,'Oil &amp; Gas Documents - Canada'!F:M,2,FALSE)</f>
        <v>#N/A</v>
      </c>
      <c r="E1648" s="1" t="str">
        <f>Vlookup(C1648,'Oil &amp; Gas Documents - Canada'!F:N,9,FALSE)</f>
        <v>#N/A</v>
      </c>
      <c r="F1648" s="1" t="s">
        <v>4593</v>
      </c>
      <c r="G1648" s="4" t="str">
        <f>HYPERLINK("http://nimonikapp.com/legislations/113698","http://nimonikapp.com/legislations/113698")</f>
        <v>http://nimonikapp.com/legislations/113698</v>
      </c>
      <c r="H1648" s="1" t="s">
        <v>18</v>
      </c>
      <c r="I1648" s="1" t="s">
        <v>4594</v>
      </c>
      <c r="J1648" s="1" t="s">
        <v>4595</v>
      </c>
      <c r="K1648" s="5">
        <v>44556.0</v>
      </c>
      <c r="M1648" s="5">
        <v>44572.0</v>
      </c>
      <c r="N1648" s="1" t="s">
        <v>4596</v>
      </c>
    </row>
    <row r="1649" hidden="1">
      <c r="A1649" s="1" t="s">
        <v>202</v>
      </c>
      <c r="B1649" s="1" t="s">
        <v>25</v>
      </c>
      <c r="C1649" s="1" t="s">
        <v>1672</v>
      </c>
      <c r="D1649" s="1" t="str">
        <f>Vlookup(C1649,'Oil &amp; Gas Documents - Canada'!F:M,2,FALSE)</f>
        <v>#N/A</v>
      </c>
      <c r="E1649" s="1" t="str">
        <f>Vlookup(C1649,'Oil &amp; Gas Documents - Canada'!F:N,9,FALSE)</f>
        <v>#N/A</v>
      </c>
      <c r="F1649" s="1" t="s">
        <v>1673</v>
      </c>
      <c r="G1649" s="4" t="str">
        <f>HYPERLINK("http://nimonikapp.com/legislations/2","http://nimonikapp.com/legislations/2")</f>
        <v>http://nimonikapp.com/legislations/2</v>
      </c>
      <c r="H1649" s="1" t="s">
        <v>18</v>
      </c>
      <c r="I1649" s="1" t="s">
        <v>4597</v>
      </c>
      <c r="J1649" s="1" t="s">
        <v>4598</v>
      </c>
      <c r="K1649" s="5">
        <v>44556.0</v>
      </c>
      <c r="M1649" s="5">
        <v>44572.0</v>
      </c>
      <c r="N1649" s="1" t="s">
        <v>1676</v>
      </c>
    </row>
    <row r="1650" hidden="1">
      <c r="A1650" s="1" t="s">
        <v>202</v>
      </c>
      <c r="B1650" s="1" t="s">
        <v>25</v>
      </c>
      <c r="C1650" s="1" t="s">
        <v>4599</v>
      </c>
      <c r="D1650" s="1" t="str">
        <f>Vlookup(C1650,'Oil &amp; Gas Documents - Canada'!F:M,2,FALSE)</f>
        <v>#N/A</v>
      </c>
      <c r="E1650" s="1" t="str">
        <f>Vlookup(C1650,'Oil &amp; Gas Documents - Canada'!F:N,9,FALSE)</f>
        <v>#N/A</v>
      </c>
      <c r="F1650" s="1" t="s">
        <v>4600</v>
      </c>
      <c r="G1650" s="4" t="str">
        <f>HYPERLINK("http://nimonikapp.com/legislations/937","http://nimonikapp.com/legislations/937")</f>
        <v>http://nimonikapp.com/legislations/937</v>
      </c>
      <c r="H1650" s="1" t="s">
        <v>18</v>
      </c>
      <c r="I1650" s="1" t="s">
        <v>4601</v>
      </c>
      <c r="J1650" s="1" t="s">
        <v>4602</v>
      </c>
      <c r="K1650" s="5">
        <v>44556.0</v>
      </c>
      <c r="M1650" s="5">
        <v>44572.0</v>
      </c>
    </row>
    <row r="1651" hidden="1">
      <c r="A1651" s="1" t="s">
        <v>202</v>
      </c>
      <c r="B1651" s="1" t="s">
        <v>25</v>
      </c>
      <c r="C1651" s="1" t="s">
        <v>4436</v>
      </c>
      <c r="D1651" s="1" t="str">
        <f>Vlookup(C1651,'Oil &amp; Gas Documents - Canada'!F:M,2,FALSE)</f>
        <v>#N/A</v>
      </c>
      <c r="E1651" s="1" t="str">
        <f>Vlookup(C1651,'Oil &amp; Gas Documents - Canada'!F:N,9,FALSE)</f>
        <v>#N/A</v>
      </c>
      <c r="F1651" s="1" t="s">
        <v>4437</v>
      </c>
      <c r="G1651" s="4" t="str">
        <f>HYPERLINK("http://nimonikapp.com/legislations/1052","http://nimonikapp.com/legislations/1052")</f>
        <v>http://nimonikapp.com/legislations/1052</v>
      </c>
      <c r="H1651" s="1" t="s">
        <v>18</v>
      </c>
      <c r="I1651" s="1" t="s">
        <v>4603</v>
      </c>
      <c r="J1651" s="1" t="s">
        <v>4604</v>
      </c>
      <c r="K1651" s="5">
        <v>44556.0</v>
      </c>
      <c r="M1651" s="5">
        <v>44572.0</v>
      </c>
    </row>
    <row r="1652" hidden="1">
      <c r="A1652" s="1" t="s">
        <v>202</v>
      </c>
      <c r="B1652" s="1" t="s">
        <v>25</v>
      </c>
      <c r="C1652" s="1" t="s">
        <v>4605</v>
      </c>
      <c r="D1652" s="1" t="str">
        <f>Vlookup(C1652,'Oil &amp; Gas Documents - Canada'!F:M,2,FALSE)</f>
        <v>#N/A</v>
      </c>
      <c r="E1652" s="1" t="str">
        <f>Vlookup(C1652,'Oil &amp; Gas Documents - Canada'!F:N,9,FALSE)</f>
        <v>#N/A</v>
      </c>
      <c r="F1652" s="1" t="s">
        <v>4606</v>
      </c>
      <c r="G1652" s="4" t="str">
        <f>HYPERLINK("http://nimonikapp.com/legislations/1066","http://nimonikapp.com/legislations/1066")</f>
        <v>http://nimonikapp.com/legislations/1066</v>
      </c>
      <c r="H1652" s="1" t="s">
        <v>18</v>
      </c>
      <c r="I1652" s="1" t="s">
        <v>4607</v>
      </c>
      <c r="J1652" s="1" t="s">
        <v>4608</v>
      </c>
      <c r="K1652" s="5">
        <v>44556.0</v>
      </c>
      <c r="M1652" s="5">
        <v>44572.0</v>
      </c>
      <c r="N1652" s="1" t="s">
        <v>4596</v>
      </c>
    </row>
    <row r="1653" hidden="1">
      <c r="A1653" s="1" t="s">
        <v>202</v>
      </c>
      <c r="B1653" s="1" t="s">
        <v>25</v>
      </c>
      <c r="C1653" s="1" t="s">
        <v>4609</v>
      </c>
      <c r="D1653" s="1" t="str">
        <f>Vlookup(C1653,'Oil &amp; Gas Documents - Canada'!F:M,2,FALSE)</f>
        <v>#N/A</v>
      </c>
      <c r="E1653" s="1" t="str">
        <f>Vlookup(C1653,'Oil &amp; Gas Documents - Canada'!F:N,9,FALSE)</f>
        <v>#N/A</v>
      </c>
      <c r="F1653" s="1" t="s">
        <v>4610</v>
      </c>
      <c r="G1653" s="4" t="str">
        <f>HYPERLINK("http://nimonikapp.com/legislations/946","http://nimonikapp.com/legislations/946")</f>
        <v>http://nimonikapp.com/legislations/946</v>
      </c>
      <c r="H1653" s="1" t="s">
        <v>18</v>
      </c>
      <c r="I1653" s="1" t="s">
        <v>4611</v>
      </c>
      <c r="J1653" s="1" t="s">
        <v>4612</v>
      </c>
      <c r="K1653" s="5">
        <v>44556.0</v>
      </c>
      <c r="M1653" s="5">
        <v>44572.0</v>
      </c>
      <c r="N1653" s="1" t="s">
        <v>4596</v>
      </c>
    </row>
    <row r="1654" hidden="1">
      <c r="A1654" s="1" t="s">
        <v>202</v>
      </c>
      <c r="B1654" s="1" t="s">
        <v>25</v>
      </c>
      <c r="C1654" s="1" t="s">
        <v>4613</v>
      </c>
      <c r="D1654" s="1" t="str">
        <f>Vlookup(C1654,'Oil &amp; Gas Documents - Canada'!F:M,2,FALSE)</f>
        <v>#N/A</v>
      </c>
      <c r="E1654" s="1" t="str">
        <f>Vlookup(C1654,'Oil &amp; Gas Documents - Canada'!F:N,9,FALSE)</f>
        <v>#N/A</v>
      </c>
      <c r="F1654" s="1" t="s">
        <v>4614</v>
      </c>
      <c r="G1654" s="4" t="str">
        <f>HYPERLINK("http://nimonikapp.com/legislations/994","http://nimonikapp.com/legislations/994")</f>
        <v>http://nimonikapp.com/legislations/994</v>
      </c>
      <c r="H1654" s="1" t="s">
        <v>18</v>
      </c>
      <c r="I1654" s="1" t="s">
        <v>4615</v>
      </c>
      <c r="J1654" s="1" t="s">
        <v>4616</v>
      </c>
      <c r="K1654" s="5">
        <v>44556.0</v>
      </c>
      <c r="M1654" s="5">
        <v>44572.0</v>
      </c>
    </row>
    <row r="1655" hidden="1">
      <c r="A1655" s="1" t="s">
        <v>202</v>
      </c>
      <c r="B1655" s="1" t="s">
        <v>25</v>
      </c>
      <c r="C1655" s="1" t="s">
        <v>4617</v>
      </c>
      <c r="D1655" s="1" t="str">
        <f>Vlookup(C1655,'Oil &amp; Gas Documents - Canada'!F:M,2,FALSE)</f>
        <v>#N/A</v>
      </c>
      <c r="E1655" s="1" t="str">
        <f>Vlookup(C1655,'Oil &amp; Gas Documents - Canada'!F:N,9,FALSE)</f>
        <v>#N/A</v>
      </c>
      <c r="F1655" s="1" t="s">
        <v>4618</v>
      </c>
      <c r="G1655" s="4" t="str">
        <f>HYPERLINK("http://nimonikapp.com/legislations/1065","http://nimonikapp.com/legislations/1065")</f>
        <v>http://nimonikapp.com/legislations/1065</v>
      </c>
      <c r="H1655" s="1" t="s">
        <v>18</v>
      </c>
      <c r="I1655" s="1" t="s">
        <v>4619</v>
      </c>
      <c r="J1655" s="1" t="s">
        <v>4620</v>
      </c>
      <c r="K1655" s="5">
        <v>44556.0</v>
      </c>
      <c r="M1655" s="5">
        <v>44572.0</v>
      </c>
      <c r="N1655" s="1" t="s">
        <v>4621</v>
      </c>
    </row>
    <row r="1656" hidden="1">
      <c r="A1656" s="1" t="s">
        <v>202</v>
      </c>
      <c r="B1656" s="1" t="s">
        <v>25</v>
      </c>
      <c r="C1656" s="1" t="s">
        <v>4622</v>
      </c>
      <c r="D1656" s="1" t="str">
        <f>Vlookup(C1656,'Oil &amp; Gas Documents - Canada'!F:M,2,FALSE)</f>
        <v>#N/A</v>
      </c>
      <c r="E1656" s="1" t="str">
        <f>Vlookup(C1656,'Oil &amp; Gas Documents - Canada'!F:N,9,FALSE)</f>
        <v>#N/A</v>
      </c>
      <c r="F1656" s="1" t="s">
        <v>4623</v>
      </c>
      <c r="G1656" s="4" t="str">
        <f>HYPERLINK("http://nimonikapp.com/legislations/7076","http://nimonikapp.com/legislations/7076")</f>
        <v>http://nimonikapp.com/legislations/7076</v>
      </c>
      <c r="H1656" s="1" t="s">
        <v>18</v>
      </c>
      <c r="I1656" s="1" t="s">
        <v>4619</v>
      </c>
      <c r="J1656" s="1" t="s">
        <v>4620</v>
      </c>
      <c r="K1656" s="5">
        <v>44556.0</v>
      </c>
      <c r="M1656" s="5">
        <v>44572.0</v>
      </c>
      <c r="N1656" s="1" t="s">
        <v>4621</v>
      </c>
    </row>
    <row r="1657" hidden="1">
      <c r="A1657" s="1" t="s">
        <v>202</v>
      </c>
      <c r="B1657" s="1" t="s">
        <v>25</v>
      </c>
      <c r="C1657" s="1" t="s">
        <v>4624</v>
      </c>
      <c r="D1657" s="1" t="str">
        <f>Vlookup(C1657,'Oil &amp; Gas Documents - Canada'!F:M,2,FALSE)</f>
        <v>#N/A</v>
      </c>
      <c r="E1657" s="1" t="str">
        <f>Vlookup(C1657,'Oil &amp; Gas Documents - Canada'!F:N,9,FALSE)</f>
        <v>#N/A</v>
      </c>
      <c r="F1657" s="1" t="s">
        <v>4625</v>
      </c>
      <c r="G1657" s="4" t="str">
        <f>HYPERLINK("http://nimonikapp.com/legislations/127524","http://nimonikapp.com/legislations/127524")</f>
        <v>http://nimonikapp.com/legislations/127524</v>
      </c>
      <c r="H1657" s="1" t="s">
        <v>18</v>
      </c>
      <c r="I1657" s="1" t="s">
        <v>729</v>
      </c>
      <c r="J1657" s="1" t="s">
        <v>730</v>
      </c>
      <c r="K1657" s="5">
        <v>44556.0</v>
      </c>
      <c r="M1657" s="5">
        <v>44572.0</v>
      </c>
      <c r="N1657" s="1" t="s">
        <v>4626</v>
      </c>
    </row>
    <row r="1658">
      <c r="A1658" s="1" t="s">
        <v>202</v>
      </c>
      <c r="B1658" s="1" t="s">
        <v>25</v>
      </c>
      <c r="C1658" s="1" t="s">
        <v>728</v>
      </c>
      <c r="D1658" s="1" t="s">
        <v>26</v>
      </c>
      <c r="E1658" s="1" t="str">
        <f>Vlookup(C1658,'Oil &amp; Gas Documents - Canada'!F:N,9,FALSE)</f>
        <v>#N/A</v>
      </c>
      <c r="F1658" s="1" t="s">
        <v>727</v>
      </c>
      <c r="G1658" s="4" t="str">
        <f>HYPERLINK("http://nimonikapp.com/legislations/1063","http://nimonikapp.com/legislations/1063")</f>
        <v>http://nimonikapp.com/legislations/1063</v>
      </c>
      <c r="H1658" s="1" t="s">
        <v>18</v>
      </c>
      <c r="I1658" s="1" t="s">
        <v>729</v>
      </c>
      <c r="J1658" s="1" t="s">
        <v>730</v>
      </c>
      <c r="K1658" s="5">
        <v>44556.0</v>
      </c>
      <c r="M1658" s="5">
        <v>44572.0</v>
      </c>
    </row>
    <row r="1659" hidden="1">
      <c r="A1659" s="1" t="s">
        <v>202</v>
      </c>
      <c r="B1659" s="1" t="s">
        <v>25</v>
      </c>
      <c r="C1659" s="1" t="s">
        <v>1916</v>
      </c>
      <c r="D1659" s="1" t="str">
        <f>Vlookup(C1659,'Oil &amp; Gas Documents - Canada'!F:M,2,FALSE)</f>
        <v>#N/A</v>
      </c>
      <c r="E1659" s="1" t="str">
        <f>Vlookup(C1659,'Oil &amp; Gas Documents - Canada'!F:N,9,FALSE)</f>
        <v>#N/A</v>
      </c>
      <c r="F1659" s="1" t="s">
        <v>1917</v>
      </c>
      <c r="G1659" s="4" t="str">
        <f>HYPERLINK("http://nimonikapp.com/legislations/3868","http://nimonikapp.com/legislations/3868")</f>
        <v>http://nimonikapp.com/legislations/3868</v>
      </c>
      <c r="H1659" s="1" t="s">
        <v>18</v>
      </c>
      <c r="I1659" s="1" t="s">
        <v>4627</v>
      </c>
      <c r="J1659" s="1" t="s">
        <v>4628</v>
      </c>
      <c r="K1659" s="5">
        <v>44556.0</v>
      </c>
      <c r="M1659" s="5">
        <v>44572.0</v>
      </c>
      <c r="N1659" s="1" t="s">
        <v>1920</v>
      </c>
    </row>
    <row r="1660" hidden="1">
      <c r="A1660" s="1" t="s">
        <v>202</v>
      </c>
      <c r="B1660" s="1" t="s">
        <v>25</v>
      </c>
      <c r="C1660" s="1" t="s">
        <v>1757</v>
      </c>
      <c r="D1660" s="1" t="str">
        <f>Vlookup(C1660,'Oil &amp; Gas Documents - Canada'!F:M,2,FALSE)</f>
        <v>#N/A</v>
      </c>
      <c r="E1660" s="1" t="str">
        <f>Vlookup(C1660,'Oil &amp; Gas Documents - Canada'!F:N,9,FALSE)</f>
        <v>#N/A</v>
      </c>
      <c r="F1660" s="1" t="s">
        <v>1758</v>
      </c>
      <c r="G1660" s="4" t="str">
        <f>HYPERLINK("http://nimonikapp.com/legislations/98078","http://nimonikapp.com/legislations/98078")</f>
        <v>http://nimonikapp.com/legislations/98078</v>
      </c>
      <c r="H1660" s="1" t="s">
        <v>18</v>
      </c>
      <c r="I1660" s="1" t="s">
        <v>4629</v>
      </c>
      <c r="J1660" s="1" t="s">
        <v>4630</v>
      </c>
      <c r="K1660" s="5">
        <v>44556.0</v>
      </c>
      <c r="M1660" s="5">
        <v>44572.0</v>
      </c>
      <c r="N1660" s="1" t="s">
        <v>1761</v>
      </c>
    </row>
    <row r="1661" hidden="1">
      <c r="A1661" s="1" t="s">
        <v>202</v>
      </c>
      <c r="B1661" s="1" t="s">
        <v>25</v>
      </c>
      <c r="C1661" s="1" t="s">
        <v>4236</v>
      </c>
      <c r="D1661" s="1" t="str">
        <f>Vlookup(C1661,'Oil &amp; Gas Documents - Canada'!F:M,2,FALSE)</f>
        <v>#N/A</v>
      </c>
      <c r="E1661" s="1" t="str">
        <f>Vlookup(C1661,'Oil &amp; Gas Documents - Canada'!F:N,9,FALSE)</f>
        <v>#N/A</v>
      </c>
      <c r="F1661" s="1" t="s">
        <v>4237</v>
      </c>
      <c r="G1661" s="4" t="str">
        <f>HYPERLINK("http://nimonikapp.com/legislations/927","http://nimonikapp.com/legislations/927")</f>
        <v>http://nimonikapp.com/legislations/927</v>
      </c>
      <c r="H1661" s="1" t="s">
        <v>18</v>
      </c>
      <c r="I1661" s="1" t="s">
        <v>731</v>
      </c>
      <c r="J1661" s="1" t="s">
        <v>732</v>
      </c>
      <c r="K1661" s="5">
        <v>44532.0</v>
      </c>
      <c r="L1661" s="5">
        <v>44362.0</v>
      </c>
      <c r="M1661" s="5">
        <v>44572.0</v>
      </c>
    </row>
    <row r="1662">
      <c r="A1662" s="1" t="s">
        <v>202</v>
      </c>
      <c r="B1662" s="1" t="s">
        <v>25</v>
      </c>
      <c r="C1662" s="1" t="s">
        <v>499</v>
      </c>
      <c r="D1662" s="1" t="s">
        <v>26</v>
      </c>
      <c r="E1662" s="1" t="str">
        <f>Vlookup(C1662,'Oil &amp; Gas Documents - Canada'!F:N,9,FALSE)</f>
        <v>#N/A</v>
      </c>
      <c r="F1662" s="1" t="s">
        <v>498</v>
      </c>
      <c r="G1662" s="4" t="str">
        <f>HYPERLINK("http://nimonikapp.com/legislations/4229","http://nimonikapp.com/legislations/4229")</f>
        <v>http://nimonikapp.com/legislations/4229</v>
      </c>
      <c r="H1662" s="1" t="s">
        <v>18</v>
      </c>
      <c r="I1662" s="1" t="s">
        <v>731</v>
      </c>
      <c r="J1662" s="1" t="s">
        <v>732</v>
      </c>
      <c r="K1662" s="5">
        <v>44532.0</v>
      </c>
      <c r="L1662" s="5">
        <v>44362.0</v>
      </c>
      <c r="M1662" s="5">
        <v>44572.0</v>
      </c>
      <c r="N1662" s="1" t="s">
        <v>500</v>
      </c>
    </row>
    <row r="1663">
      <c r="A1663" s="1" t="s">
        <v>202</v>
      </c>
      <c r="B1663" s="1" t="s">
        <v>25</v>
      </c>
      <c r="C1663" s="1" t="s">
        <v>734</v>
      </c>
      <c r="D1663" s="1" t="s">
        <v>26</v>
      </c>
      <c r="E1663" s="1" t="str">
        <f>Vlookup(C1663,'Oil &amp; Gas Documents - Canada'!F:N,9,FALSE)</f>
        <v>#N/A</v>
      </c>
      <c r="F1663" s="1" t="s">
        <v>733</v>
      </c>
      <c r="G1663" s="4" t="str">
        <f>HYPERLINK("http://nimonikapp.com/legislations/933","http://nimonikapp.com/legislations/933")</f>
        <v>http://nimonikapp.com/legislations/933</v>
      </c>
      <c r="H1663" s="1" t="s">
        <v>18</v>
      </c>
      <c r="I1663" s="1" t="s">
        <v>731</v>
      </c>
      <c r="J1663" s="1" t="s">
        <v>732</v>
      </c>
      <c r="K1663" s="5">
        <v>44532.0</v>
      </c>
      <c r="L1663" s="5">
        <v>44362.0</v>
      </c>
      <c r="M1663" s="5">
        <v>44572.0</v>
      </c>
    </row>
    <row r="1664" hidden="1">
      <c r="A1664" s="1" t="s">
        <v>202</v>
      </c>
      <c r="B1664" s="1" t="s">
        <v>25</v>
      </c>
      <c r="C1664" s="1" t="s">
        <v>4631</v>
      </c>
      <c r="D1664" s="1" t="str">
        <f>Vlookup(C1664,'Oil &amp; Gas Documents - Canada'!F:M,2,FALSE)</f>
        <v>#N/A</v>
      </c>
      <c r="E1664" s="1" t="str">
        <f>Vlookup(C1664,'Oil &amp; Gas Documents - Canada'!F:N,9,FALSE)</f>
        <v>#N/A</v>
      </c>
      <c r="F1664" s="1" t="s">
        <v>4632</v>
      </c>
      <c r="G1664" s="4" t="str">
        <f>HYPERLINK("http://nimonikapp.com/legislations/268537","http://nimonikapp.com/legislations/268537")</f>
        <v>http://nimonikapp.com/legislations/268537</v>
      </c>
      <c r="H1664" s="1" t="s">
        <v>18</v>
      </c>
      <c r="I1664" s="1" t="s">
        <v>731</v>
      </c>
      <c r="J1664" s="1" t="s">
        <v>732</v>
      </c>
      <c r="K1664" s="5">
        <v>44532.0</v>
      </c>
      <c r="L1664" s="5">
        <v>44362.0</v>
      </c>
      <c r="M1664" s="5">
        <v>44572.0</v>
      </c>
    </row>
    <row r="1665">
      <c r="A1665" s="1" t="s">
        <v>202</v>
      </c>
      <c r="B1665" s="1" t="s">
        <v>25</v>
      </c>
      <c r="C1665" s="1" t="s">
        <v>728</v>
      </c>
      <c r="D1665" s="1" t="s">
        <v>26</v>
      </c>
      <c r="E1665" s="1" t="str">
        <f>Vlookup(C1665,'Oil &amp; Gas Documents - Canada'!F:N,9,FALSE)</f>
        <v>#N/A</v>
      </c>
      <c r="F1665" s="1" t="s">
        <v>727</v>
      </c>
      <c r="G1665" s="4" t="str">
        <f>HYPERLINK("http://nimonikapp.com/legislations/1063","http://nimonikapp.com/legislations/1063")</f>
        <v>http://nimonikapp.com/legislations/1063</v>
      </c>
      <c r="H1665" s="1" t="s">
        <v>18</v>
      </c>
      <c r="I1665" s="1" t="s">
        <v>731</v>
      </c>
      <c r="J1665" s="1" t="s">
        <v>732</v>
      </c>
      <c r="K1665" s="5">
        <v>44532.0</v>
      </c>
      <c r="L1665" s="5">
        <v>44362.0</v>
      </c>
      <c r="M1665" s="5">
        <v>44572.0</v>
      </c>
    </row>
    <row r="1666" hidden="1">
      <c r="A1666" s="1" t="s">
        <v>202</v>
      </c>
      <c r="B1666" s="1" t="s">
        <v>25</v>
      </c>
      <c r="C1666" s="1" t="s">
        <v>4633</v>
      </c>
      <c r="D1666" s="1" t="str">
        <f>Vlookup(C1666,'Oil &amp; Gas Documents - Canada'!F:M,2,FALSE)</f>
        <v>#N/A</v>
      </c>
      <c r="E1666" s="1" t="str">
        <f>Vlookup(C1666,'Oil &amp; Gas Documents - Canada'!F:N,9,FALSE)</f>
        <v>#N/A</v>
      </c>
      <c r="F1666" s="1" t="s">
        <v>4634</v>
      </c>
      <c r="G1666" s="4" t="str">
        <f>HYPERLINK("http://nimonikapp.com/legislations/1079","http://nimonikapp.com/legislations/1079")</f>
        <v>http://nimonikapp.com/legislations/1079</v>
      </c>
      <c r="H1666" s="1" t="s">
        <v>18</v>
      </c>
      <c r="I1666" s="1" t="s">
        <v>4635</v>
      </c>
      <c r="J1666" s="1" t="s">
        <v>4636</v>
      </c>
      <c r="K1666" s="5">
        <v>44538.0</v>
      </c>
      <c r="L1666" s="5">
        <v>44553.0</v>
      </c>
      <c r="M1666" s="5">
        <v>44571.0</v>
      </c>
      <c r="N1666" s="1" t="s">
        <v>4637</v>
      </c>
    </row>
    <row r="1667" hidden="1">
      <c r="A1667" s="1" t="s">
        <v>202</v>
      </c>
      <c r="B1667" s="1" t="s">
        <v>25</v>
      </c>
      <c r="C1667" s="1" t="s">
        <v>4638</v>
      </c>
      <c r="D1667" s="1" t="str">
        <f>Vlookup(C1667,'Oil &amp; Gas Documents - Canada'!F:M,2,FALSE)</f>
        <v>#N/A</v>
      </c>
      <c r="E1667" s="1" t="str">
        <f>Vlookup(C1667,'Oil &amp; Gas Documents - Canada'!F:N,9,FALSE)</f>
        <v>#N/A</v>
      </c>
      <c r="F1667" s="1" t="s">
        <v>4639</v>
      </c>
      <c r="G1667" s="4" t="str">
        <f>HYPERLINK("http://nimonikapp.com/legislations/4000","http://nimonikapp.com/legislations/4000")</f>
        <v>http://nimonikapp.com/legislations/4000</v>
      </c>
      <c r="H1667" s="1" t="s">
        <v>18</v>
      </c>
      <c r="I1667" s="1" t="s">
        <v>4635</v>
      </c>
      <c r="J1667" s="1" t="s">
        <v>4636</v>
      </c>
      <c r="K1667" s="5">
        <v>44538.0</v>
      </c>
      <c r="L1667" s="5">
        <v>44553.0</v>
      </c>
      <c r="M1667" s="5">
        <v>44571.0</v>
      </c>
      <c r="N1667" s="1" t="s">
        <v>4640</v>
      </c>
    </row>
    <row r="1668" hidden="1">
      <c r="A1668" s="1" t="s">
        <v>73</v>
      </c>
      <c r="B1668" s="1" t="s">
        <v>25</v>
      </c>
      <c r="C1668" s="1" t="s">
        <v>4641</v>
      </c>
      <c r="D1668" s="1" t="str">
        <f>Vlookup(C1668,'Oil &amp; Gas Documents - Canada'!F:M,2,FALSE)</f>
        <v>#N/A</v>
      </c>
      <c r="E1668" s="1" t="str">
        <f>Vlookup(C1668,'Oil &amp; Gas Documents - Canada'!F:N,9,FALSE)</f>
        <v>#N/A</v>
      </c>
      <c r="F1668" s="1" t="s">
        <v>4642</v>
      </c>
      <c r="G1668" s="4" t="str">
        <f>HYPERLINK("http://nimonikapp.com/legislations/297873","http://nimonikapp.com/legislations/297873")</f>
        <v>http://nimonikapp.com/legislations/297873</v>
      </c>
      <c r="H1668" s="1" t="s">
        <v>18</v>
      </c>
      <c r="I1668" s="1" t="s">
        <v>4643</v>
      </c>
      <c r="J1668" s="1" t="s">
        <v>4644</v>
      </c>
      <c r="K1668" s="5">
        <v>44547.0</v>
      </c>
      <c r="L1668" s="5">
        <v>44547.0</v>
      </c>
      <c r="M1668" s="5">
        <v>44571.0</v>
      </c>
    </row>
    <row r="1669" hidden="1">
      <c r="A1669" s="1" t="s">
        <v>73</v>
      </c>
      <c r="B1669" s="1" t="s">
        <v>25</v>
      </c>
      <c r="C1669" s="1" t="s">
        <v>2411</v>
      </c>
      <c r="D1669" s="1" t="str">
        <f>Vlookup(C1669,'Oil &amp; Gas Documents - Canada'!F:M,2,FALSE)</f>
        <v>#N/A</v>
      </c>
      <c r="E1669" s="1" t="str">
        <f>Vlookup(C1669,'Oil &amp; Gas Documents - Canada'!F:N,9,FALSE)</f>
        <v>#N/A</v>
      </c>
      <c r="F1669" s="1" t="s">
        <v>2412</v>
      </c>
      <c r="G1669" s="4" t="str">
        <f>HYPERLINK("http://nimonikapp.com/legislations/80","http://nimonikapp.com/legislations/80")</f>
        <v>http://nimonikapp.com/legislations/80</v>
      </c>
      <c r="H1669" s="1" t="s">
        <v>18</v>
      </c>
      <c r="I1669" s="1" t="s">
        <v>4643</v>
      </c>
      <c r="J1669" s="1" t="s">
        <v>4644</v>
      </c>
      <c r="K1669" s="5">
        <v>44547.0</v>
      </c>
      <c r="L1669" s="5">
        <v>44547.0</v>
      </c>
      <c r="M1669" s="5">
        <v>44571.0</v>
      </c>
      <c r="N1669" s="1" t="s">
        <v>2413</v>
      </c>
    </row>
    <row r="1670" hidden="1">
      <c r="A1670" s="1" t="s">
        <v>202</v>
      </c>
      <c r="B1670" s="1" t="s">
        <v>25</v>
      </c>
      <c r="C1670" s="1" t="s">
        <v>4645</v>
      </c>
      <c r="D1670" s="1" t="str">
        <f>Vlookup(C1670,'Oil &amp; Gas Documents - Canada'!F:M,2,FALSE)</f>
        <v>#N/A</v>
      </c>
      <c r="E1670" s="1" t="str">
        <f>Vlookup(C1670,'Oil &amp; Gas Documents - Canada'!F:N,9,FALSE)</f>
        <v>#N/A</v>
      </c>
      <c r="F1670" s="1" t="s">
        <v>4646</v>
      </c>
      <c r="G1670" s="4" t="str">
        <f>HYPERLINK("http://nimonikapp.com/legislations/301769","http://nimonikapp.com/legislations/301769")</f>
        <v>http://nimonikapp.com/legislations/301769</v>
      </c>
      <c r="H1670" s="1" t="s">
        <v>18</v>
      </c>
      <c r="I1670" s="1" t="s">
        <v>4647</v>
      </c>
      <c r="J1670" s="1" t="s">
        <v>4648</v>
      </c>
      <c r="K1670" s="5">
        <v>44553.0</v>
      </c>
      <c r="L1670" s="5">
        <v>44500.0</v>
      </c>
      <c r="M1670" s="5">
        <v>44571.0</v>
      </c>
      <c r="N1670" s="1" t="s">
        <v>4649</v>
      </c>
    </row>
    <row r="1671" hidden="1">
      <c r="A1671" s="1" t="s">
        <v>202</v>
      </c>
      <c r="B1671" s="1" t="s">
        <v>25</v>
      </c>
      <c r="C1671" s="1" t="s">
        <v>2053</v>
      </c>
      <c r="D1671" s="1" t="str">
        <f>Vlookup(C1671,'Oil &amp; Gas Documents - Canada'!F:M,2,FALSE)</f>
        <v>#N/A</v>
      </c>
      <c r="E1671" s="1" t="str">
        <f>Vlookup(C1671,'Oil &amp; Gas Documents - Canada'!F:N,9,FALSE)</f>
        <v>#N/A</v>
      </c>
      <c r="F1671" s="1" t="s">
        <v>2054</v>
      </c>
      <c r="G1671" s="4" t="str">
        <f>HYPERLINK("http://nimonikapp.com/legislations/16","http://nimonikapp.com/legislations/16")</f>
        <v>http://nimonikapp.com/legislations/16</v>
      </c>
      <c r="H1671" s="1" t="s">
        <v>18</v>
      </c>
      <c r="I1671" s="1" t="s">
        <v>4647</v>
      </c>
      <c r="J1671" s="1" t="s">
        <v>4648</v>
      </c>
      <c r="K1671" s="5">
        <v>44553.0</v>
      </c>
      <c r="L1671" s="5">
        <v>44500.0</v>
      </c>
      <c r="M1671" s="5">
        <v>44571.0</v>
      </c>
      <c r="N1671" s="1" t="s">
        <v>2057</v>
      </c>
    </row>
    <row r="1672" hidden="1">
      <c r="A1672" s="1" t="s">
        <v>73</v>
      </c>
      <c r="B1672" s="1" t="s">
        <v>25</v>
      </c>
      <c r="C1672" s="1" t="s">
        <v>2411</v>
      </c>
      <c r="D1672" s="1" t="str">
        <f>Vlookup(C1672,'Oil &amp; Gas Documents - Canada'!F:M,2,FALSE)</f>
        <v>#N/A</v>
      </c>
      <c r="E1672" s="1" t="str">
        <f>Vlookup(C1672,'Oil &amp; Gas Documents - Canada'!F:N,9,FALSE)</f>
        <v>#N/A</v>
      </c>
      <c r="F1672" s="1" t="s">
        <v>2412</v>
      </c>
      <c r="G1672" s="4" t="str">
        <f>HYPERLINK("http://nimonikapp.com/legislations/80","http://nimonikapp.com/legislations/80")</f>
        <v>http://nimonikapp.com/legislations/80</v>
      </c>
      <c r="H1672" s="1" t="s">
        <v>18</v>
      </c>
      <c r="I1672" s="1" t="s">
        <v>4650</v>
      </c>
      <c r="J1672" s="1" t="s">
        <v>4651</v>
      </c>
      <c r="K1672" s="5">
        <v>44547.0</v>
      </c>
      <c r="L1672" s="5">
        <v>44577.0</v>
      </c>
      <c r="M1672" s="5">
        <v>44571.0</v>
      </c>
      <c r="N1672" s="1" t="s">
        <v>2413</v>
      </c>
    </row>
    <row r="1673" hidden="1">
      <c r="A1673" s="1" t="s">
        <v>73</v>
      </c>
      <c r="B1673" s="1" t="s">
        <v>25</v>
      </c>
      <c r="C1673" s="1" t="s">
        <v>1066</v>
      </c>
      <c r="D1673" s="1" t="str">
        <f>Vlookup(C1673,'Oil &amp; Gas Documents - Canada'!F:M,2,FALSE)</f>
        <v>#N/A</v>
      </c>
      <c r="E1673" s="1" t="str">
        <f>Vlookup(C1673,'Oil &amp; Gas Documents - Canada'!F:N,9,FALSE)</f>
        <v>#N/A</v>
      </c>
      <c r="F1673" s="1" t="s">
        <v>1067</v>
      </c>
      <c r="G1673" s="4" t="str">
        <f>HYPERLINK("http://nimonikapp.com/legislations/786","http://nimonikapp.com/legislations/786")</f>
        <v>http://nimonikapp.com/legislations/786</v>
      </c>
      <c r="H1673" s="1" t="s">
        <v>18</v>
      </c>
      <c r="I1673" s="1" t="s">
        <v>4650</v>
      </c>
      <c r="J1673" s="1" t="s">
        <v>4651</v>
      </c>
      <c r="K1673" s="5">
        <v>44547.0</v>
      </c>
      <c r="L1673" s="5">
        <v>44577.0</v>
      </c>
      <c r="M1673" s="5">
        <v>44571.0</v>
      </c>
      <c r="N1673" s="1" t="s">
        <v>1068</v>
      </c>
    </row>
    <row r="1674" hidden="1">
      <c r="A1674" s="1" t="s">
        <v>202</v>
      </c>
      <c r="B1674" s="1" t="s">
        <v>364</v>
      </c>
      <c r="C1674" s="1" t="s">
        <v>4652</v>
      </c>
      <c r="D1674" s="1" t="str">
        <f>Vlookup(C1674,'Oil &amp; Gas Documents - Canada'!F:M,2,FALSE)</f>
        <v>#N/A</v>
      </c>
      <c r="E1674" s="1" t="str">
        <f>Vlookup(C1674,'Oil &amp; Gas Documents - Canada'!F:N,9,FALSE)</f>
        <v>#N/A</v>
      </c>
      <c r="F1674" s="1" t="s">
        <v>4653</v>
      </c>
      <c r="G1674" s="4" t="str">
        <f>HYPERLINK("http://nimonikapp.com/legislations/939","http://nimonikapp.com/legislations/939")</f>
        <v>http://nimonikapp.com/legislations/939</v>
      </c>
      <c r="H1674" s="1" t="s">
        <v>356</v>
      </c>
      <c r="I1674" s="1" t="s">
        <v>4654</v>
      </c>
      <c r="J1674" s="1" t="s">
        <v>4655</v>
      </c>
      <c r="K1674" s="5">
        <v>44545.0</v>
      </c>
      <c r="L1674" s="5">
        <v>44561.0</v>
      </c>
      <c r="M1674" s="5">
        <v>44571.0</v>
      </c>
      <c r="N1674" s="1" t="s">
        <v>4656</v>
      </c>
    </row>
    <row r="1675" hidden="1">
      <c r="A1675" s="1" t="s">
        <v>73</v>
      </c>
      <c r="B1675" s="1" t="s">
        <v>364</v>
      </c>
      <c r="C1675" s="1" t="s">
        <v>4657</v>
      </c>
      <c r="D1675" s="1" t="str">
        <f>Vlookup(C1675,'Oil &amp; Gas Documents - Canada'!F:M,2,FALSE)</f>
        <v>#N/A</v>
      </c>
      <c r="E1675" s="1" t="str">
        <f>Vlookup(C1675,'Oil &amp; Gas Documents - Canada'!F:N,9,FALSE)</f>
        <v>#N/A</v>
      </c>
      <c r="F1675" s="1" t="s">
        <v>4658</v>
      </c>
      <c r="G1675" s="4" t="str">
        <f>HYPERLINK("http://nimonikapp.com/legislations/318994","http://nimonikapp.com/legislations/318994")</f>
        <v>http://nimonikapp.com/legislations/318994</v>
      </c>
      <c r="H1675" s="1" t="s">
        <v>356</v>
      </c>
      <c r="I1675" s="1" t="s">
        <v>4530</v>
      </c>
      <c r="J1675" s="1" t="s">
        <v>4531</v>
      </c>
      <c r="K1675" s="5">
        <v>44555.0</v>
      </c>
      <c r="L1675" s="5">
        <v>44543.0</v>
      </c>
      <c r="M1675" s="5">
        <v>44571.0</v>
      </c>
      <c r="N1675" s="1" t="s">
        <v>4659</v>
      </c>
    </row>
    <row r="1676">
      <c r="A1676" s="1" t="s">
        <v>202</v>
      </c>
      <c r="B1676" s="1" t="s">
        <v>25</v>
      </c>
      <c r="C1676" s="1" t="s">
        <v>728</v>
      </c>
      <c r="D1676" s="1" t="s">
        <v>26</v>
      </c>
      <c r="E1676" s="1" t="str">
        <f>Vlookup(C1676,'Oil &amp; Gas Documents - Canada'!F:N,9,FALSE)</f>
        <v>#N/A</v>
      </c>
      <c r="F1676" s="1" t="s">
        <v>727</v>
      </c>
      <c r="G1676" s="4" t="str">
        <f>HYPERLINK("http://nimonikapp.com/legislations/1063","http://nimonikapp.com/legislations/1063")</f>
        <v>http://nimonikapp.com/legislations/1063</v>
      </c>
      <c r="H1676" s="1" t="s">
        <v>18</v>
      </c>
      <c r="I1676" s="1" t="s">
        <v>735</v>
      </c>
      <c r="J1676" s="1" t="s">
        <v>736</v>
      </c>
      <c r="K1676" s="5">
        <v>44539.0</v>
      </c>
      <c r="L1676" s="5">
        <v>44539.0</v>
      </c>
      <c r="M1676" s="5">
        <v>44568.0</v>
      </c>
    </row>
    <row r="1677">
      <c r="A1677" s="1" t="s">
        <v>202</v>
      </c>
      <c r="B1677" s="1" t="s">
        <v>25</v>
      </c>
      <c r="C1677" s="1" t="s">
        <v>373</v>
      </c>
      <c r="D1677" s="1" t="s">
        <v>26</v>
      </c>
      <c r="E1677" s="1" t="str">
        <f>Vlookup(C1677,'Oil &amp; Gas Documents - Canada'!F:N,9,FALSE)</f>
        <v>#N/A</v>
      </c>
      <c r="F1677" s="1" t="s">
        <v>372</v>
      </c>
      <c r="G1677" s="4" t="str">
        <f>HYPERLINK("http://nimonikapp.com/legislations/1304","http://nimonikapp.com/legislations/1304")</f>
        <v>http://nimonikapp.com/legislations/1304</v>
      </c>
      <c r="H1677" s="1" t="s">
        <v>18</v>
      </c>
      <c r="I1677" s="1" t="s">
        <v>735</v>
      </c>
      <c r="J1677" s="1" t="s">
        <v>736</v>
      </c>
      <c r="K1677" s="5">
        <v>44539.0</v>
      </c>
      <c r="L1677" s="5">
        <v>44539.0</v>
      </c>
      <c r="M1677" s="5">
        <v>44568.0</v>
      </c>
      <c r="N1677" s="1" t="s">
        <v>374</v>
      </c>
    </row>
    <row r="1678" hidden="1">
      <c r="A1678" s="1" t="s">
        <v>202</v>
      </c>
      <c r="B1678" s="1" t="s">
        <v>25</v>
      </c>
      <c r="C1678" s="1" t="s">
        <v>1672</v>
      </c>
      <c r="D1678" s="1" t="str">
        <f>Vlookup(C1678,'Oil &amp; Gas Documents - Canada'!F:M,2,FALSE)</f>
        <v>#N/A</v>
      </c>
      <c r="E1678" s="1" t="str">
        <f>Vlookup(C1678,'Oil &amp; Gas Documents - Canada'!F:N,9,FALSE)</f>
        <v>#N/A</v>
      </c>
      <c r="F1678" s="1" t="s">
        <v>1673</v>
      </c>
      <c r="G1678" s="4" t="str">
        <f>HYPERLINK("http://nimonikapp.com/legislations/2","http://nimonikapp.com/legislations/2")</f>
        <v>http://nimonikapp.com/legislations/2</v>
      </c>
      <c r="H1678" s="1" t="s">
        <v>18</v>
      </c>
      <c r="I1678" s="1" t="s">
        <v>735</v>
      </c>
      <c r="J1678" s="1" t="s">
        <v>736</v>
      </c>
      <c r="K1678" s="5">
        <v>44539.0</v>
      </c>
      <c r="L1678" s="5">
        <v>44539.0</v>
      </c>
      <c r="M1678" s="5">
        <v>44568.0</v>
      </c>
      <c r="N1678" s="1" t="s">
        <v>1676</v>
      </c>
    </row>
    <row r="1679" hidden="1">
      <c r="A1679" s="1" t="s">
        <v>202</v>
      </c>
      <c r="B1679" s="1" t="s">
        <v>25</v>
      </c>
      <c r="C1679" s="1" t="s">
        <v>1850</v>
      </c>
      <c r="D1679" s="1" t="str">
        <f>Vlookup(C1679,'Oil &amp; Gas Documents - Canada'!F:M,2,FALSE)</f>
        <v>#N/A</v>
      </c>
      <c r="E1679" s="1" t="str">
        <f>Vlookup(C1679,'Oil &amp; Gas Documents - Canada'!F:N,9,FALSE)</f>
        <v>#N/A</v>
      </c>
      <c r="F1679" s="1" t="s">
        <v>1851</v>
      </c>
      <c r="G1679" s="4" t="str">
        <f>HYPERLINK("http://nimonikapp.com/legislations/120134","http://nimonikapp.com/legislations/120134")</f>
        <v>http://nimonikapp.com/legislations/120134</v>
      </c>
      <c r="H1679" s="1" t="s">
        <v>18</v>
      </c>
      <c r="I1679" s="1" t="s">
        <v>735</v>
      </c>
      <c r="J1679" s="1" t="s">
        <v>736</v>
      </c>
      <c r="K1679" s="5">
        <v>44539.0</v>
      </c>
      <c r="L1679" s="5">
        <v>44539.0</v>
      </c>
      <c r="M1679" s="5">
        <v>44568.0</v>
      </c>
      <c r="N1679" s="1" t="s">
        <v>1854</v>
      </c>
    </row>
    <row r="1680" hidden="1">
      <c r="A1680" s="1" t="s">
        <v>202</v>
      </c>
      <c r="B1680" s="1" t="s">
        <v>25</v>
      </c>
      <c r="C1680" s="1" t="s">
        <v>3041</v>
      </c>
      <c r="D1680" s="1" t="str">
        <f>Vlookup(C1680,'Oil &amp; Gas Documents - Canada'!F:M,2,FALSE)</f>
        <v>#N/A</v>
      </c>
      <c r="E1680" s="1" t="str">
        <f>Vlookup(C1680,'Oil &amp; Gas Documents - Canada'!F:N,9,FALSE)</f>
        <v>#N/A</v>
      </c>
      <c r="F1680" s="1" t="s">
        <v>3042</v>
      </c>
      <c r="G1680" s="4" t="str">
        <f>HYPERLINK("http://nimonikapp.com/legislations/37","http://nimonikapp.com/legislations/37")</f>
        <v>http://nimonikapp.com/legislations/37</v>
      </c>
      <c r="H1680" s="1" t="s">
        <v>18</v>
      </c>
      <c r="I1680" s="1" t="s">
        <v>735</v>
      </c>
      <c r="J1680" s="1" t="s">
        <v>736</v>
      </c>
      <c r="K1680" s="5">
        <v>44539.0</v>
      </c>
      <c r="L1680" s="5">
        <v>44539.0</v>
      </c>
      <c r="M1680" s="5">
        <v>44568.0</v>
      </c>
      <c r="N1680" s="1" t="s">
        <v>3043</v>
      </c>
    </row>
    <row r="1681" hidden="1">
      <c r="A1681" s="1" t="s">
        <v>202</v>
      </c>
      <c r="B1681" s="1" t="s">
        <v>25</v>
      </c>
      <c r="C1681" s="1" t="s">
        <v>2254</v>
      </c>
      <c r="D1681" s="1" t="str">
        <f>Vlookup(C1681,'Oil &amp; Gas Documents - Canada'!F:M,2,FALSE)</f>
        <v>#N/A</v>
      </c>
      <c r="E1681" s="1" t="str">
        <f>Vlookup(C1681,'Oil &amp; Gas Documents - Canada'!F:N,9,FALSE)</f>
        <v>#N/A</v>
      </c>
      <c r="F1681" s="1" t="s">
        <v>2255</v>
      </c>
      <c r="G1681" s="4" t="str">
        <f>HYPERLINK("http://nimonikapp.com/legislations/7071","http://nimonikapp.com/legislations/7071")</f>
        <v>http://nimonikapp.com/legislations/7071</v>
      </c>
      <c r="H1681" s="1" t="s">
        <v>18</v>
      </c>
      <c r="I1681" s="1" t="s">
        <v>735</v>
      </c>
      <c r="J1681" s="1" t="s">
        <v>736</v>
      </c>
      <c r="K1681" s="5">
        <v>44539.0</v>
      </c>
      <c r="L1681" s="5">
        <v>44539.0</v>
      </c>
      <c r="M1681" s="5">
        <v>44568.0</v>
      </c>
    </row>
    <row r="1682" hidden="1">
      <c r="A1682" s="1" t="s">
        <v>202</v>
      </c>
      <c r="B1682" s="1" t="s">
        <v>25</v>
      </c>
      <c r="C1682" s="1" t="s">
        <v>2067</v>
      </c>
      <c r="D1682" s="1" t="str">
        <f>Vlookup(C1682,'Oil &amp; Gas Documents - Canada'!F:M,2,FALSE)</f>
        <v>#N/A</v>
      </c>
      <c r="E1682" s="1" t="str">
        <f>Vlookup(C1682,'Oil &amp; Gas Documents - Canada'!F:N,9,FALSE)</f>
        <v>#N/A</v>
      </c>
      <c r="F1682" s="1" t="s">
        <v>2068</v>
      </c>
      <c r="G1682" s="4" t="str">
        <f>HYPERLINK("http://nimonikapp.com/legislations/212","http://nimonikapp.com/legislations/212")</f>
        <v>http://nimonikapp.com/legislations/212</v>
      </c>
      <c r="H1682" s="1" t="s">
        <v>18</v>
      </c>
      <c r="I1682" s="1" t="s">
        <v>735</v>
      </c>
      <c r="J1682" s="1" t="s">
        <v>736</v>
      </c>
      <c r="K1682" s="5">
        <v>44539.0</v>
      </c>
      <c r="L1682" s="5">
        <v>44539.0</v>
      </c>
      <c r="M1682" s="5">
        <v>44568.0</v>
      </c>
      <c r="N1682" s="1" t="s">
        <v>2069</v>
      </c>
    </row>
    <row r="1683" hidden="1">
      <c r="A1683" s="1" t="s">
        <v>202</v>
      </c>
      <c r="B1683" s="1" t="s">
        <v>25</v>
      </c>
      <c r="C1683" s="1" t="s">
        <v>2487</v>
      </c>
      <c r="D1683" s="1" t="str">
        <f>Vlookup(C1683,'Oil &amp; Gas Documents - Canada'!F:M,2,FALSE)</f>
        <v>#N/A</v>
      </c>
      <c r="E1683" s="1" t="str">
        <f>Vlookup(C1683,'Oil &amp; Gas Documents - Canada'!F:N,9,FALSE)</f>
        <v>#N/A</v>
      </c>
      <c r="F1683" s="1" t="s">
        <v>2488</v>
      </c>
      <c r="G1683" s="4" t="str">
        <f>HYPERLINK("http://nimonikapp.com/legislations/113696","http://nimonikapp.com/legislations/113696")</f>
        <v>http://nimonikapp.com/legislations/113696</v>
      </c>
      <c r="H1683" s="1" t="s">
        <v>18</v>
      </c>
      <c r="I1683" s="1" t="s">
        <v>4660</v>
      </c>
      <c r="J1683" s="1" t="s">
        <v>4661</v>
      </c>
      <c r="K1683" s="5">
        <v>44541.0</v>
      </c>
      <c r="M1683" s="5">
        <v>44568.0</v>
      </c>
      <c r="N1683" s="1" t="s">
        <v>2491</v>
      </c>
    </row>
    <row r="1684" hidden="1">
      <c r="A1684" s="1" t="s">
        <v>202</v>
      </c>
      <c r="B1684" s="1" t="s">
        <v>25</v>
      </c>
      <c r="C1684" s="1" t="s">
        <v>4662</v>
      </c>
      <c r="D1684" s="1" t="str">
        <f>Vlookup(C1684,'Oil &amp; Gas Documents - Canada'!F:M,2,FALSE)</f>
        <v>#N/A</v>
      </c>
      <c r="E1684" s="1" t="str">
        <f>Vlookup(C1684,'Oil &amp; Gas Documents - Canada'!F:N,9,FALSE)</f>
        <v>#N/A</v>
      </c>
      <c r="F1684" s="1" t="s">
        <v>4663</v>
      </c>
      <c r="G1684" s="4" t="str">
        <f>HYPERLINK("http://nimonikapp.com/legislations/682","http://nimonikapp.com/legislations/682")</f>
        <v>http://nimonikapp.com/legislations/682</v>
      </c>
      <c r="H1684" s="1" t="s">
        <v>18</v>
      </c>
      <c r="I1684" s="1" t="s">
        <v>4664</v>
      </c>
      <c r="J1684" s="1" t="s">
        <v>4665</v>
      </c>
      <c r="K1684" s="5">
        <v>44538.0</v>
      </c>
      <c r="M1684" s="5">
        <v>44568.0</v>
      </c>
      <c r="N1684" s="1" t="s">
        <v>4666</v>
      </c>
    </row>
    <row r="1685" hidden="1">
      <c r="A1685" s="1" t="s">
        <v>202</v>
      </c>
      <c r="B1685" s="1" t="s">
        <v>25</v>
      </c>
      <c r="C1685" s="1" t="s">
        <v>4667</v>
      </c>
      <c r="D1685" s="1" t="str">
        <f>Vlookup(C1685,'Oil &amp; Gas Documents - Canada'!F:M,2,FALSE)</f>
        <v>#N/A</v>
      </c>
      <c r="E1685" s="1" t="str">
        <f>Vlookup(C1685,'Oil &amp; Gas Documents - Canada'!F:N,9,FALSE)</f>
        <v>#N/A</v>
      </c>
      <c r="F1685" s="1" t="s">
        <v>4668</v>
      </c>
      <c r="G1685" s="4" t="str">
        <f>HYPERLINK("http://nimonikapp.com/legislations/1305","http://nimonikapp.com/legislations/1305")</f>
        <v>http://nimonikapp.com/legislations/1305</v>
      </c>
      <c r="H1685" s="1" t="s">
        <v>18</v>
      </c>
      <c r="I1685" s="1" t="s">
        <v>4669</v>
      </c>
      <c r="J1685" s="1" t="s">
        <v>4670</v>
      </c>
      <c r="K1685" s="5">
        <v>44541.0</v>
      </c>
      <c r="M1685" s="5">
        <v>44568.0</v>
      </c>
    </row>
    <row r="1686" hidden="1">
      <c r="A1686" s="1" t="s">
        <v>202</v>
      </c>
      <c r="B1686" s="1" t="s">
        <v>352</v>
      </c>
      <c r="C1686" s="1" t="s">
        <v>4671</v>
      </c>
      <c r="D1686" s="1" t="str">
        <f>Vlookup(C1686,'Oil &amp; Gas Documents - Canada'!F:M,2,FALSE)</f>
        <v>#N/A</v>
      </c>
      <c r="E1686" s="1" t="str">
        <f>Vlookup(C1686,'Oil &amp; Gas Documents - Canada'!F:N,9,FALSE)</f>
        <v>#N/A</v>
      </c>
      <c r="F1686" s="1" t="s">
        <v>1410</v>
      </c>
      <c r="G1686" s="4" t="str">
        <f>HYPERLINK("http://nimonikapp.com/legislations/272040","http://nimonikapp.com/legislations/272040")</f>
        <v>http://nimonikapp.com/legislations/272040</v>
      </c>
      <c r="H1686" s="1" t="s">
        <v>356</v>
      </c>
      <c r="I1686" s="1" t="s">
        <v>4672</v>
      </c>
      <c r="J1686" s="1" t="s">
        <v>1410</v>
      </c>
      <c r="K1686" s="5">
        <v>44525.0</v>
      </c>
      <c r="L1686" s="5">
        <v>44517.0</v>
      </c>
      <c r="M1686" s="5">
        <v>44568.0</v>
      </c>
    </row>
    <row r="1687" hidden="1">
      <c r="A1687" s="1" t="s">
        <v>202</v>
      </c>
      <c r="B1687" s="1" t="s">
        <v>25</v>
      </c>
      <c r="C1687" s="1" t="s">
        <v>4555</v>
      </c>
      <c r="D1687" s="1" t="str">
        <f>Vlookup(C1687,'Oil &amp; Gas Documents - Canada'!F:M,2,FALSE)</f>
        <v>#N/A</v>
      </c>
      <c r="E1687" s="1" t="str">
        <f>Vlookup(C1687,'Oil &amp; Gas Documents - Canada'!F:N,9,FALSE)</f>
        <v>#N/A</v>
      </c>
      <c r="F1687" s="1" t="s">
        <v>1410</v>
      </c>
      <c r="G1687" s="4" t="str">
        <f>HYPERLINK("http://nimonikapp.com/legislations/292452","http://nimonikapp.com/legislations/292452")</f>
        <v>http://nimonikapp.com/legislations/292452</v>
      </c>
      <c r="H1687" s="1" t="s">
        <v>52</v>
      </c>
      <c r="I1687" s="1" t="s">
        <v>4672</v>
      </c>
      <c r="J1687" s="1" t="s">
        <v>1410</v>
      </c>
      <c r="K1687" s="5">
        <v>44525.0</v>
      </c>
      <c r="L1687" s="5">
        <v>44517.0</v>
      </c>
      <c r="M1687" s="5">
        <v>44568.0</v>
      </c>
      <c r="N1687" s="1" t="s">
        <v>4556</v>
      </c>
    </row>
    <row r="1688" hidden="1">
      <c r="A1688" s="1" t="s">
        <v>202</v>
      </c>
      <c r="B1688" s="1" t="s">
        <v>25</v>
      </c>
      <c r="C1688" s="1" t="s">
        <v>3750</v>
      </c>
      <c r="D1688" s="1" t="str">
        <f>Vlookup(C1688,'Oil &amp; Gas Documents - Canada'!F:M,2,FALSE)</f>
        <v>#N/A</v>
      </c>
      <c r="E1688" s="1" t="str">
        <f>Vlookup(C1688,'Oil &amp; Gas Documents - Canada'!F:N,9,FALSE)</f>
        <v>#N/A</v>
      </c>
      <c r="F1688" s="1" t="s">
        <v>1410</v>
      </c>
      <c r="G1688" s="4" t="str">
        <f>HYPERLINK("http://nimonikapp.com/legislations/312927","http://nimonikapp.com/legislations/312927")</f>
        <v>http://nimonikapp.com/legislations/312927</v>
      </c>
      <c r="H1688" s="1" t="s">
        <v>356</v>
      </c>
      <c r="I1688" s="1" t="s">
        <v>3749</v>
      </c>
      <c r="J1688" s="1" t="s">
        <v>1410</v>
      </c>
      <c r="K1688" s="5">
        <v>44546.0</v>
      </c>
      <c r="L1688" s="5">
        <v>44543.0</v>
      </c>
      <c r="M1688" s="5">
        <v>44568.0</v>
      </c>
      <c r="N1688" s="1" t="s">
        <v>3748</v>
      </c>
    </row>
    <row r="1689" hidden="1">
      <c r="A1689" s="1" t="s">
        <v>202</v>
      </c>
      <c r="B1689" s="1" t="s">
        <v>25</v>
      </c>
      <c r="C1689" s="1" t="s">
        <v>4673</v>
      </c>
      <c r="D1689" s="1" t="str">
        <f>Vlookup(C1689,'Oil &amp; Gas Documents - Canada'!F:M,2,FALSE)</f>
        <v>#N/A</v>
      </c>
      <c r="E1689" s="1" t="str">
        <f>Vlookup(C1689,'Oil &amp; Gas Documents - Canada'!F:N,9,FALSE)</f>
        <v>#N/A</v>
      </c>
      <c r="F1689" s="1" t="s">
        <v>1410</v>
      </c>
      <c r="G1689" s="4" t="str">
        <f>HYPERLINK("http://nimonikapp.com/legislations/310984","http://nimonikapp.com/legislations/310984")</f>
        <v>http://nimonikapp.com/legislations/310984</v>
      </c>
      <c r="H1689" s="1" t="s">
        <v>18</v>
      </c>
      <c r="I1689" s="1" t="s">
        <v>3749</v>
      </c>
      <c r="J1689" s="1" t="s">
        <v>1410</v>
      </c>
      <c r="K1689" s="5">
        <v>44546.0</v>
      </c>
      <c r="L1689" s="5">
        <v>44543.0</v>
      </c>
      <c r="M1689" s="5">
        <v>44568.0</v>
      </c>
      <c r="N1689" s="1" t="s">
        <v>4674</v>
      </c>
    </row>
    <row r="1690" hidden="1">
      <c r="A1690" s="1" t="s">
        <v>73</v>
      </c>
      <c r="B1690" s="1" t="s">
        <v>364</v>
      </c>
      <c r="C1690" s="1" t="s">
        <v>4675</v>
      </c>
      <c r="D1690" s="1" t="str">
        <f>Vlookup(C1690,'Oil &amp; Gas Documents - Canada'!F:M,2,FALSE)</f>
        <v>#N/A</v>
      </c>
      <c r="E1690" s="1" t="str">
        <f>Vlookup(C1690,'Oil &amp; Gas Documents - Canada'!F:N,9,FALSE)</f>
        <v>#N/A</v>
      </c>
      <c r="F1690" s="1" t="s">
        <v>4676</v>
      </c>
      <c r="G1690" s="4" t="str">
        <f>HYPERLINK("http://nimonikapp.com/legislations/318803","http://nimonikapp.com/legislations/318803")</f>
        <v>http://nimonikapp.com/legislations/318803</v>
      </c>
      <c r="H1690" s="1" t="s">
        <v>356</v>
      </c>
      <c r="I1690" s="1" t="s">
        <v>4677</v>
      </c>
      <c r="J1690" s="1" t="s">
        <v>4678</v>
      </c>
      <c r="K1690" s="5">
        <v>44548.0</v>
      </c>
      <c r="L1690" s="5">
        <v>44526.0</v>
      </c>
      <c r="M1690" s="5">
        <v>44568.0</v>
      </c>
      <c r="N1690" s="1" t="s">
        <v>4679</v>
      </c>
    </row>
    <row r="1691" hidden="1">
      <c r="A1691" s="1" t="s">
        <v>73</v>
      </c>
      <c r="B1691" s="1" t="s">
        <v>364</v>
      </c>
      <c r="C1691" s="1" t="s">
        <v>4677</v>
      </c>
      <c r="D1691" s="1" t="str">
        <f>Vlookup(C1691,'Oil &amp; Gas Documents - Canada'!F:M,2,FALSE)</f>
        <v>#N/A</v>
      </c>
      <c r="E1691" s="1" t="str">
        <f>Vlookup(C1691,'Oil &amp; Gas Documents - Canada'!F:N,9,FALSE)</f>
        <v>#N/A</v>
      </c>
      <c r="F1691" s="1" t="s">
        <v>4678</v>
      </c>
      <c r="G1691" s="4" t="str">
        <f>HYPERLINK("http://nimonikapp.com/legislations/318992","http://nimonikapp.com/legislations/318992")</f>
        <v>http://nimonikapp.com/legislations/318992</v>
      </c>
      <c r="H1691" s="1" t="s">
        <v>356</v>
      </c>
      <c r="I1691" s="1" t="s">
        <v>4680</v>
      </c>
      <c r="J1691" s="1" t="s">
        <v>4681</v>
      </c>
      <c r="K1691" s="5">
        <v>44548.0</v>
      </c>
      <c r="L1691" s="5">
        <v>44530.0</v>
      </c>
      <c r="M1691" s="5">
        <v>44568.0</v>
      </c>
      <c r="N1691" s="1" t="s">
        <v>4682</v>
      </c>
    </row>
    <row r="1692" hidden="1">
      <c r="A1692" s="1" t="s">
        <v>73</v>
      </c>
      <c r="B1692" s="1" t="s">
        <v>364</v>
      </c>
      <c r="C1692" s="1" t="s">
        <v>4680</v>
      </c>
      <c r="D1692" s="1" t="str">
        <f>Vlookup(C1692,'Oil &amp; Gas Documents - Canada'!F:M,2,FALSE)</f>
        <v>#N/A</v>
      </c>
      <c r="E1692" s="1" t="str">
        <f>Vlookup(C1692,'Oil &amp; Gas Documents - Canada'!F:N,9,FALSE)</f>
        <v>#N/A</v>
      </c>
      <c r="F1692" s="1" t="s">
        <v>4681</v>
      </c>
      <c r="G1692" s="4" t="str">
        <f>HYPERLINK("http://nimonikapp.com/legislations/318993","http://nimonikapp.com/legislations/318993")</f>
        <v>http://nimonikapp.com/legislations/318993</v>
      </c>
      <c r="H1692" s="1" t="s">
        <v>356</v>
      </c>
      <c r="I1692" s="1" t="s">
        <v>4657</v>
      </c>
      <c r="J1692" s="1" t="s">
        <v>4658</v>
      </c>
      <c r="K1692" s="5">
        <v>44548.0</v>
      </c>
      <c r="L1692" s="5">
        <v>44530.0</v>
      </c>
      <c r="M1692" s="5">
        <v>44568.0</v>
      </c>
      <c r="N1692" s="1" t="s">
        <v>4683</v>
      </c>
    </row>
    <row r="1693">
      <c r="A1693" s="1" t="s">
        <v>99</v>
      </c>
      <c r="B1693" s="1" t="s">
        <v>25</v>
      </c>
      <c r="C1693" s="1" t="s">
        <v>738</v>
      </c>
      <c r="D1693" s="1" t="s">
        <v>26</v>
      </c>
      <c r="E1693" s="1" t="str">
        <f>Vlookup(C1693,'Oil &amp; Gas Documents - Canada'!F:N,9,FALSE)</f>
        <v>#N/A</v>
      </c>
      <c r="F1693" s="1" t="s">
        <v>737</v>
      </c>
      <c r="G1693" s="4" t="str">
        <f>HYPERLINK("http://nimonikapp.com/legislations/113693","http://nimonikapp.com/legislations/113693")</f>
        <v>http://nimonikapp.com/legislations/113693</v>
      </c>
      <c r="H1693" s="1" t="s">
        <v>18</v>
      </c>
      <c r="I1693" s="1" t="s">
        <v>739</v>
      </c>
      <c r="J1693" s="1" t="s">
        <v>740</v>
      </c>
      <c r="K1693" s="5">
        <v>44554.0</v>
      </c>
      <c r="L1693" s="5">
        <v>44554.0</v>
      </c>
      <c r="M1693" s="5">
        <v>44567.0</v>
      </c>
    </row>
    <row r="1694" hidden="1">
      <c r="A1694" s="1" t="s">
        <v>24</v>
      </c>
      <c r="B1694" s="1" t="s">
        <v>25</v>
      </c>
      <c r="C1694" s="1" t="s">
        <v>826</v>
      </c>
      <c r="D1694" s="1" t="str">
        <f>Vlookup(C1694,'Oil &amp; Gas Documents - Canada'!F:M,2,FALSE)</f>
        <v>#N/A</v>
      </c>
      <c r="E1694" s="1" t="str">
        <f>Vlookup(C1694,'Oil &amp; Gas Documents - Canada'!F:N,9,FALSE)</f>
        <v>#N/A</v>
      </c>
      <c r="F1694" s="1" t="s">
        <v>827</v>
      </c>
      <c r="G1694" s="4" t="str">
        <f>HYPERLINK("http://nimonikapp.com/legislations/122769","http://nimonikapp.com/legislations/122769")</f>
        <v>http://nimonikapp.com/legislations/122769</v>
      </c>
      <c r="H1694" s="1" t="s">
        <v>18</v>
      </c>
      <c r="I1694" s="1" t="s">
        <v>4684</v>
      </c>
      <c r="J1694" s="1" t="s">
        <v>4685</v>
      </c>
      <c r="K1694" s="5">
        <v>44551.0</v>
      </c>
      <c r="L1694" s="5">
        <v>44550.0</v>
      </c>
      <c r="M1694" s="5">
        <v>44567.0</v>
      </c>
      <c r="N1694" s="1" t="s">
        <v>828</v>
      </c>
    </row>
    <row r="1695" hidden="1">
      <c r="A1695" s="1" t="s">
        <v>24</v>
      </c>
      <c r="B1695" s="1" t="s">
        <v>25</v>
      </c>
      <c r="C1695" s="1" t="s">
        <v>4420</v>
      </c>
      <c r="D1695" s="1" t="str">
        <f>Vlookup(C1695,'Oil &amp; Gas Documents - Canada'!F:M,2,FALSE)</f>
        <v>#N/A</v>
      </c>
      <c r="E1695" s="1" t="str">
        <f>Vlookup(C1695,'Oil &amp; Gas Documents - Canada'!F:N,9,FALSE)</f>
        <v>#N/A</v>
      </c>
      <c r="F1695" s="1" t="s">
        <v>4421</v>
      </c>
      <c r="G1695" s="4" t="str">
        <f>HYPERLINK("http://nimonikapp.com/legislations/122780","http://nimonikapp.com/legislations/122780")</f>
        <v>http://nimonikapp.com/legislations/122780</v>
      </c>
      <c r="H1695" s="1" t="s">
        <v>18</v>
      </c>
      <c r="I1695" s="1" t="s">
        <v>4686</v>
      </c>
      <c r="J1695" s="1" t="s">
        <v>4687</v>
      </c>
      <c r="K1695" s="5">
        <v>44551.0</v>
      </c>
      <c r="L1695" s="5">
        <v>44550.0</v>
      </c>
      <c r="M1695" s="5">
        <v>44567.0</v>
      </c>
    </row>
    <row r="1696" hidden="1">
      <c r="A1696" s="1" t="s">
        <v>24</v>
      </c>
      <c r="B1696" s="1" t="s">
        <v>25</v>
      </c>
      <c r="C1696" s="1" t="s">
        <v>826</v>
      </c>
      <c r="D1696" s="1" t="str">
        <f>Vlookup(C1696,'Oil &amp; Gas Documents - Canada'!F:M,2,FALSE)</f>
        <v>#N/A</v>
      </c>
      <c r="E1696" s="1" t="str">
        <f>Vlookup(C1696,'Oil &amp; Gas Documents - Canada'!F:N,9,FALSE)</f>
        <v>#N/A</v>
      </c>
      <c r="F1696" s="1" t="s">
        <v>827</v>
      </c>
      <c r="G1696" s="4" t="str">
        <f>HYPERLINK("http://nimonikapp.com/legislations/122769","http://nimonikapp.com/legislations/122769")</f>
        <v>http://nimonikapp.com/legislations/122769</v>
      </c>
      <c r="H1696" s="1" t="s">
        <v>18</v>
      </c>
      <c r="I1696" s="1" t="s">
        <v>4688</v>
      </c>
      <c r="J1696" s="1" t="s">
        <v>4689</v>
      </c>
      <c r="K1696" s="5">
        <v>44561.0</v>
      </c>
      <c r="L1696" s="5">
        <v>44560.0</v>
      </c>
      <c r="M1696" s="5">
        <v>44567.0</v>
      </c>
      <c r="N1696" s="1" t="s">
        <v>828</v>
      </c>
    </row>
    <row r="1697" hidden="1">
      <c r="A1697" s="1" t="s">
        <v>24</v>
      </c>
      <c r="B1697" s="1" t="s">
        <v>25</v>
      </c>
      <c r="C1697" s="1" t="s">
        <v>2346</v>
      </c>
      <c r="D1697" s="1" t="str">
        <f>Vlookup(C1697,'Oil &amp; Gas Documents - Canada'!F:M,2,FALSE)</f>
        <v>#N/A</v>
      </c>
      <c r="E1697" s="1" t="str">
        <f>Vlookup(C1697,'Oil &amp; Gas Documents - Canada'!F:N,9,FALSE)</f>
        <v>#N/A</v>
      </c>
      <c r="F1697" s="1" t="s">
        <v>2347</v>
      </c>
      <c r="G1697" s="4" t="str">
        <f>HYPERLINK("http://nimonikapp.com/legislations/14322","http://nimonikapp.com/legislations/14322")</f>
        <v>http://nimonikapp.com/legislations/14322</v>
      </c>
      <c r="H1697" s="1" t="s">
        <v>18</v>
      </c>
      <c r="I1697" s="1" t="s">
        <v>4690</v>
      </c>
      <c r="J1697" s="1" t="s">
        <v>4691</v>
      </c>
      <c r="K1697" s="5">
        <v>44551.0</v>
      </c>
      <c r="L1697" s="5">
        <v>44547.0</v>
      </c>
      <c r="M1697" s="5">
        <v>44567.0</v>
      </c>
      <c r="N1697" s="1" t="s">
        <v>2350</v>
      </c>
    </row>
    <row r="1698" hidden="1">
      <c r="A1698" s="1" t="s">
        <v>73</v>
      </c>
      <c r="B1698" s="1" t="s">
        <v>364</v>
      </c>
      <c r="C1698" s="1" t="s">
        <v>4692</v>
      </c>
      <c r="D1698" s="1" t="str">
        <f>Vlookup(C1698,'Oil &amp; Gas Documents - Canada'!F:M,2,FALSE)</f>
        <v>#N/A</v>
      </c>
      <c r="E1698" s="1" t="str">
        <f>Vlookup(C1698,'Oil &amp; Gas Documents - Canada'!F:N,9,FALSE)</f>
        <v>#N/A</v>
      </c>
      <c r="F1698" s="1" t="s">
        <v>4693</v>
      </c>
      <c r="G1698" s="4" t="str">
        <f>HYPERLINK("http://nimonikapp.com/legislations/315514","http://nimonikapp.com/legislations/315514")</f>
        <v>http://nimonikapp.com/legislations/315514</v>
      </c>
      <c r="H1698" s="1" t="s">
        <v>356</v>
      </c>
      <c r="I1698" s="1" t="s">
        <v>4675</v>
      </c>
      <c r="J1698" s="1" t="s">
        <v>4676</v>
      </c>
      <c r="K1698" s="5">
        <v>44541.0</v>
      </c>
      <c r="L1698" s="5">
        <v>44523.0</v>
      </c>
      <c r="M1698" s="5">
        <v>44567.0</v>
      </c>
      <c r="N1698" s="1" t="s">
        <v>4694</v>
      </c>
    </row>
    <row r="1699" hidden="1">
      <c r="A1699" s="1" t="s">
        <v>73</v>
      </c>
      <c r="B1699" s="1" t="s">
        <v>364</v>
      </c>
      <c r="C1699" s="1" t="s">
        <v>4695</v>
      </c>
      <c r="D1699" s="1" t="str">
        <f>Vlookup(C1699,'Oil &amp; Gas Documents - Canada'!F:M,2,FALSE)</f>
        <v>#N/A</v>
      </c>
      <c r="E1699" s="1" t="str">
        <f>Vlookup(C1699,'Oil &amp; Gas Documents - Canada'!F:N,9,FALSE)</f>
        <v>#N/A</v>
      </c>
      <c r="F1699" s="1" t="s">
        <v>4696</v>
      </c>
      <c r="G1699" s="4" t="str">
        <f>HYPERLINK("http://nimonikapp.com/legislations/317227","http://nimonikapp.com/legislations/317227")</f>
        <v>http://nimonikapp.com/legislations/317227</v>
      </c>
      <c r="H1699" s="1" t="s">
        <v>356</v>
      </c>
      <c r="I1699" s="1" t="s">
        <v>4576</v>
      </c>
      <c r="J1699" s="1" t="s">
        <v>4577</v>
      </c>
      <c r="K1699" s="5">
        <v>44541.0</v>
      </c>
      <c r="L1699" s="5">
        <v>44530.0</v>
      </c>
      <c r="M1699" s="5">
        <v>44567.0</v>
      </c>
      <c r="N1699" s="1" t="s">
        <v>4697</v>
      </c>
    </row>
    <row r="1700" hidden="1">
      <c r="A1700" s="1" t="s">
        <v>73</v>
      </c>
      <c r="B1700" s="1" t="s">
        <v>364</v>
      </c>
      <c r="C1700" s="1" t="s">
        <v>4698</v>
      </c>
      <c r="D1700" s="1" t="str">
        <f>Vlookup(C1700,'Oil &amp; Gas Documents - Canada'!F:M,2,FALSE)</f>
        <v>#N/A</v>
      </c>
      <c r="E1700" s="1" t="str">
        <f>Vlookup(C1700,'Oil &amp; Gas Documents - Canada'!F:N,9,FALSE)</f>
        <v>#N/A</v>
      </c>
      <c r="F1700" s="1" t="s">
        <v>4699</v>
      </c>
      <c r="G1700" s="4" t="str">
        <f>HYPERLINK("http://nimonikapp.com/legislations/312923","http://nimonikapp.com/legislations/312923")</f>
        <v>http://nimonikapp.com/legislations/312923</v>
      </c>
      <c r="H1700" s="1" t="s">
        <v>356</v>
      </c>
      <c r="I1700" s="1" t="s">
        <v>4372</v>
      </c>
      <c r="J1700" s="1" t="s">
        <v>4373</v>
      </c>
      <c r="K1700" s="5">
        <v>44541.0</v>
      </c>
      <c r="L1700" s="5">
        <v>44529.0</v>
      </c>
      <c r="M1700" s="5">
        <v>44567.0</v>
      </c>
      <c r="N1700" s="1" t="s">
        <v>4700</v>
      </c>
    </row>
    <row r="1701" hidden="1">
      <c r="A1701" s="1" t="s">
        <v>21</v>
      </c>
      <c r="B1701" s="1" t="s">
        <v>25</v>
      </c>
      <c r="C1701" s="1" t="s">
        <v>1294</v>
      </c>
      <c r="D1701" s="1" t="str">
        <f>Vlookup(C1701,'Oil &amp; Gas Documents - Canada'!F:M,2,FALSE)</f>
        <v>#N/A</v>
      </c>
      <c r="E1701" s="1" t="str">
        <f>Vlookup(C1701,'Oil &amp; Gas Documents - Canada'!F:N,9,FALSE)</f>
        <v>#N/A</v>
      </c>
      <c r="F1701" s="1" t="s">
        <v>1295</v>
      </c>
      <c r="G1701" s="4" t="str">
        <f>HYPERLINK("http://nimonikapp.com/legislations/6409","http://nimonikapp.com/legislations/6409")</f>
        <v>http://nimonikapp.com/legislations/6409</v>
      </c>
      <c r="H1701" s="1" t="s">
        <v>18</v>
      </c>
      <c r="I1701" s="1" t="s">
        <v>4701</v>
      </c>
      <c r="J1701" s="1" t="s">
        <v>1973</v>
      </c>
      <c r="K1701" s="5">
        <v>44545.0</v>
      </c>
      <c r="L1701" s="5">
        <v>44713.0</v>
      </c>
      <c r="M1701" s="5">
        <v>44566.0</v>
      </c>
    </row>
    <row r="1702" hidden="1">
      <c r="A1702" s="1" t="s">
        <v>21</v>
      </c>
      <c r="B1702" s="1" t="s">
        <v>25</v>
      </c>
      <c r="C1702" s="1" t="s">
        <v>1963</v>
      </c>
      <c r="D1702" s="1" t="str">
        <f>Vlookup(C1702,'Oil &amp; Gas Documents - Canada'!F:M,2,FALSE)</f>
        <v>#N/A</v>
      </c>
      <c r="E1702" s="1" t="str">
        <f>Vlookup(C1702,'Oil &amp; Gas Documents - Canada'!F:N,9,FALSE)</f>
        <v>#N/A</v>
      </c>
      <c r="F1702" s="1" t="s">
        <v>1964</v>
      </c>
      <c r="G1702" s="4" t="str">
        <f>HYPERLINK("http://nimonikapp.com/legislations/6408","http://nimonikapp.com/legislations/6408")</f>
        <v>http://nimonikapp.com/legislations/6408</v>
      </c>
      <c r="H1702" s="1" t="s">
        <v>18</v>
      </c>
      <c r="I1702" s="1" t="s">
        <v>4702</v>
      </c>
      <c r="J1702" s="1" t="s">
        <v>1966</v>
      </c>
      <c r="K1702" s="5">
        <v>44545.0</v>
      </c>
      <c r="L1702" s="5">
        <v>44593.0</v>
      </c>
      <c r="M1702" s="5">
        <v>44566.0</v>
      </c>
      <c r="N1702" s="1" t="s">
        <v>1967</v>
      </c>
    </row>
    <row r="1703" hidden="1">
      <c r="A1703" s="1" t="s">
        <v>21</v>
      </c>
      <c r="B1703" s="1" t="s">
        <v>25</v>
      </c>
      <c r="C1703" s="1" t="s">
        <v>1979</v>
      </c>
      <c r="D1703" s="1" t="str">
        <f>Vlookup(C1703,'Oil &amp; Gas Documents - Canada'!F:M,2,FALSE)</f>
        <v>#N/A</v>
      </c>
      <c r="E1703" s="1" t="str">
        <f>Vlookup(C1703,'Oil &amp; Gas Documents - Canada'!F:N,9,FALSE)</f>
        <v>#N/A</v>
      </c>
      <c r="F1703" s="1" t="s">
        <v>1980</v>
      </c>
      <c r="G1703" s="4" t="str">
        <f>HYPERLINK("http://nimonikapp.com/legislations/116388","http://nimonikapp.com/legislations/116388")</f>
        <v>http://nimonikapp.com/legislations/116388</v>
      </c>
      <c r="H1703" s="1" t="s">
        <v>18</v>
      </c>
      <c r="I1703" s="1" t="s">
        <v>4703</v>
      </c>
      <c r="J1703" s="1" t="s">
        <v>1982</v>
      </c>
      <c r="K1703" s="5">
        <v>44545.0</v>
      </c>
      <c r="L1703" s="5">
        <v>44713.0</v>
      </c>
      <c r="M1703" s="5">
        <v>44566.0</v>
      </c>
      <c r="N1703" s="1" t="s">
        <v>1983</v>
      </c>
    </row>
    <row r="1704" hidden="1">
      <c r="A1704" s="1" t="s">
        <v>21</v>
      </c>
      <c r="B1704" s="1" t="s">
        <v>25</v>
      </c>
      <c r="C1704" s="1" t="s">
        <v>1974</v>
      </c>
      <c r="D1704" s="1" t="str">
        <f>Vlookup(C1704,'Oil &amp; Gas Documents - Canada'!F:M,2,FALSE)</f>
        <v>#N/A</v>
      </c>
      <c r="E1704" s="1" t="str">
        <f>Vlookup(C1704,'Oil &amp; Gas Documents - Canada'!F:N,9,FALSE)</f>
        <v>#N/A</v>
      </c>
      <c r="F1704" s="1" t="s">
        <v>1975</v>
      </c>
      <c r="G1704" s="4" t="str">
        <f>HYPERLINK("http://nimonikapp.com/legislations/94420","http://nimonikapp.com/legislations/94420")</f>
        <v>http://nimonikapp.com/legislations/94420</v>
      </c>
      <c r="H1704" s="1" t="s">
        <v>18</v>
      </c>
      <c r="I1704" s="1" t="s">
        <v>4704</v>
      </c>
      <c r="J1704" s="1" t="s">
        <v>1977</v>
      </c>
      <c r="K1704" s="5">
        <v>44545.0</v>
      </c>
      <c r="L1704" s="5">
        <v>44713.0</v>
      </c>
      <c r="M1704" s="5">
        <v>44566.0</v>
      </c>
      <c r="N1704" s="1" t="s">
        <v>1978</v>
      </c>
    </row>
    <row r="1705" hidden="1">
      <c r="A1705" s="1" t="s">
        <v>21</v>
      </c>
      <c r="B1705" s="1" t="s">
        <v>25</v>
      </c>
      <c r="C1705" s="1" t="s">
        <v>1859</v>
      </c>
      <c r="D1705" s="1" t="str">
        <f>Vlookup(C1705,'Oil &amp; Gas Documents - Canada'!F:M,2,FALSE)</f>
        <v>#N/A</v>
      </c>
      <c r="E1705" s="1" t="str">
        <f>Vlookup(C1705,'Oil &amp; Gas Documents - Canada'!F:N,9,FALSE)</f>
        <v>#N/A</v>
      </c>
      <c r="F1705" s="1" t="s">
        <v>1860</v>
      </c>
      <c r="G1705" s="4" t="str">
        <f>HYPERLINK("http://nimonikapp.com/legislations/286993","http://nimonikapp.com/legislations/286993")</f>
        <v>http://nimonikapp.com/legislations/286993</v>
      </c>
      <c r="H1705" s="1" t="s">
        <v>18</v>
      </c>
      <c r="I1705" s="1" t="s">
        <v>4705</v>
      </c>
      <c r="J1705" s="1" t="s">
        <v>1862</v>
      </c>
      <c r="K1705" s="5">
        <v>44545.0</v>
      </c>
      <c r="L1705" s="5">
        <v>44713.0</v>
      </c>
      <c r="M1705" s="5">
        <v>44566.0</v>
      </c>
      <c r="N1705" s="1" t="s">
        <v>1863</v>
      </c>
    </row>
    <row r="1706">
      <c r="A1706" s="1" t="s">
        <v>21</v>
      </c>
      <c r="B1706" s="1" t="s">
        <v>25</v>
      </c>
      <c r="C1706" s="1" t="s">
        <v>742</v>
      </c>
      <c r="D1706" s="1" t="str">
        <f>Vlookup(C1706,'Oil &amp; Gas Documents - Canada'!F:M,2,FALSE)</f>
        <v>oil_and_gas, mining_and_minerals_industry</v>
      </c>
      <c r="E1706" s="1" t="str">
        <f>Vlookup(C1706,'Oil &amp; Gas Documents - Canada'!F:N,9,FALSE)</f>
        <v/>
      </c>
      <c r="F1706" s="1" t="s">
        <v>741</v>
      </c>
      <c r="G1706" s="4" t="str">
        <f>HYPERLINK("http://nimonikapp.com/legislations/1388","http://nimonikapp.com/legislations/1388")</f>
        <v>http://nimonikapp.com/legislations/1388</v>
      </c>
      <c r="H1706" s="1" t="s">
        <v>18</v>
      </c>
      <c r="I1706" s="1" t="s">
        <v>744</v>
      </c>
      <c r="J1706" s="1" t="s">
        <v>745</v>
      </c>
      <c r="K1706" s="5">
        <v>44545.0</v>
      </c>
      <c r="L1706" s="5">
        <v>44531.0</v>
      </c>
      <c r="M1706" s="5">
        <v>44566.0</v>
      </c>
      <c r="N1706" s="1" t="s">
        <v>743</v>
      </c>
    </row>
    <row r="1707">
      <c r="A1707" s="1" t="s">
        <v>21</v>
      </c>
      <c r="B1707" s="1" t="s">
        <v>25</v>
      </c>
      <c r="C1707" s="1" t="s">
        <v>747</v>
      </c>
      <c r="D1707" s="1" t="str">
        <f>Vlookup(C1707,'Oil &amp; Gas Documents - Canada'!F:M,2,FALSE)</f>
        <v>oil_and_gas</v>
      </c>
      <c r="E1707" s="1" t="str">
        <f>Vlookup(C1707,'Oil &amp; Gas Documents - Canada'!F:N,9,FALSE)</f>
        <v/>
      </c>
      <c r="F1707" s="1" t="s">
        <v>746</v>
      </c>
      <c r="G1707" s="4" t="str">
        <f>HYPERLINK("http://nimonikapp.com/legislations/151436","http://nimonikapp.com/legislations/151436")</f>
        <v>http://nimonikapp.com/legislations/151436</v>
      </c>
      <c r="H1707" s="1" t="s">
        <v>18</v>
      </c>
      <c r="I1707" s="1" t="s">
        <v>749</v>
      </c>
      <c r="J1707" s="1" t="s">
        <v>750</v>
      </c>
      <c r="K1707" s="5">
        <v>44545.0</v>
      </c>
      <c r="L1707" s="5">
        <v>44531.0</v>
      </c>
      <c r="M1707" s="5">
        <v>44566.0</v>
      </c>
      <c r="N1707" s="1" t="s">
        <v>748</v>
      </c>
    </row>
    <row r="1708" hidden="1">
      <c r="A1708" s="1" t="s">
        <v>21</v>
      </c>
      <c r="B1708" s="1" t="s">
        <v>25</v>
      </c>
      <c r="C1708" s="1" t="s">
        <v>1299</v>
      </c>
      <c r="D1708" s="1" t="str">
        <f>Vlookup(C1708,'Oil &amp; Gas Documents - Canada'!F:M,2,FALSE)</f>
        <v>#N/A</v>
      </c>
      <c r="E1708" s="1" t="str">
        <f>Vlookup(C1708,'Oil &amp; Gas Documents - Canada'!F:N,9,FALSE)</f>
        <v>#N/A</v>
      </c>
      <c r="F1708" s="1" t="s">
        <v>1300</v>
      </c>
      <c r="G1708" s="4" t="str">
        <f>HYPERLINK("http://nimonikapp.com/legislations/4027","http://nimonikapp.com/legislations/4027")</f>
        <v>http://nimonikapp.com/legislations/4027</v>
      </c>
      <c r="H1708" s="1" t="s">
        <v>18</v>
      </c>
      <c r="I1708" s="1" t="s">
        <v>4706</v>
      </c>
      <c r="J1708" s="1" t="s">
        <v>4260</v>
      </c>
      <c r="K1708" s="5">
        <v>44545.0</v>
      </c>
      <c r="L1708" s="5">
        <v>44531.0</v>
      </c>
      <c r="M1708" s="5">
        <v>44566.0</v>
      </c>
      <c r="N1708" s="1" t="s">
        <v>1301</v>
      </c>
    </row>
    <row r="1709" hidden="1">
      <c r="A1709" s="1" t="s">
        <v>21</v>
      </c>
      <c r="B1709" s="1" t="s">
        <v>25</v>
      </c>
      <c r="C1709" s="1" t="s">
        <v>4707</v>
      </c>
      <c r="D1709" s="1" t="str">
        <f>Vlookup(C1709,'Oil &amp; Gas Documents - Canada'!F:M,2,FALSE)</f>
        <v>#N/A</v>
      </c>
      <c r="E1709" s="1" t="str">
        <f>Vlookup(C1709,'Oil &amp; Gas Documents - Canada'!F:N,9,FALSE)</f>
        <v>#N/A</v>
      </c>
      <c r="F1709" s="1" t="s">
        <v>824</v>
      </c>
      <c r="G1709" s="4" t="str">
        <f>HYPERLINK("http://nimonikapp.com/legislations/118350","http://nimonikapp.com/legislations/118350")</f>
        <v>http://nimonikapp.com/legislations/118350</v>
      </c>
      <c r="H1709" s="1" t="s">
        <v>18</v>
      </c>
      <c r="I1709" s="1" t="s">
        <v>4708</v>
      </c>
      <c r="J1709" s="1" t="s">
        <v>4709</v>
      </c>
      <c r="K1709" s="5">
        <v>44561.0</v>
      </c>
      <c r="M1709" s="5">
        <v>44566.0</v>
      </c>
      <c r="N1709" s="1" t="s">
        <v>4710</v>
      </c>
    </row>
    <row r="1710" hidden="1">
      <c r="A1710" s="1" t="s">
        <v>21</v>
      </c>
      <c r="B1710" s="1" t="s">
        <v>25</v>
      </c>
      <c r="C1710" s="1" t="s">
        <v>3999</v>
      </c>
      <c r="D1710" s="1" t="str">
        <f>Vlookup(C1710,'Oil &amp; Gas Documents - Canada'!F:M,2,FALSE)</f>
        <v>#N/A</v>
      </c>
      <c r="E1710" s="1" t="str">
        <f>Vlookup(C1710,'Oil &amp; Gas Documents - Canada'!F:N,9,FALSE)</f>
        <v>#N/A</v>
      </c>
      <c r="F1710" s="1" t="s">
        <v>4000</v>
      </c>
      <c r="G1710" s="4" t="str">
        <f>HYPERLINK("http://nimonikapp.com/legislations/216","http://nimonikapp.com/legislations/216")</f>
        <v>http://nimonikapp.com/legislations/216</v>
      </c>
      <c r="H1710" s="1" t="s">
        <v>18</v>
      </c>
      <c r="I1710" s="1" t="s">
        <v>754</v>
      </c>
      <c r="J1710" s="1" t="s">
        <v>755</v>
      </c>
      <c r="K1710" s="5">
        <v>44561.0</v>
      </c>
      <c r="M1710" s="5">
        <v>44566.0</v>
      </c>
      <c r="N1710" s="1" t="s">
        <v>3998</v>
      </c>
    </row>
    <row r="1711" hidden="1">
      <c r="A1711" s="1" t="s">
        <v>21</v>
      </c>
      <c r="B1711" s="1" t="s">
        <v>25</v>
      </c>
      <c r="C1711" s="1" t="s">
        <v>4711</v>
      </c>
      <c r="D1711" s="1" t="str">
        <f>Vlookup(C1711,'Oil &amp; Gas Documents - Canada'!F:M,2,FALSE)</f>
        <v>#N/A</v>
      </c>
      <c r="E1711" s="1" t="str">
        <f>Vlookup(C1711,'Oil &amp; Gas Documents - Canada'!F:N,9,FALSE)</f>
        <v>#N/A</v>
      </c>
      <c r="F1711" s="1" t="s">
        <v>4712</v>
      </c>
      <c r="G1711" s="4" t="str">
        <f>HYPERLINK("http://nimonikapp.com/legislations/59","http://nimonikapp.com/legislations/59")</f>
        <v>http://nimonikapp.com/legislations/59</v>
      </c>
      <c r="H1711" s="1" t="s">
        <v>18</v>
      </c>
      <c r="I1711" s="1" t="s">
        <v>754</v>
      </c>
      <c r="J1711" s="1" t="s">
        <v>755</v>
      </c>
      <c r="K1711" s="5">
        <v>44561.0</v>
      </c>
      <c r="M1711" s="5">
        <v>44566.0</v>
      </c>
      <c r="N1711" s="1" t="s">
        <v>4713</v>
      </c>
    </row>
    <row r="1712">
      <c r="A1712" s="1" t="s">
        <v>21</v>
      </c>
      <c r="B1712" s="1" t="s">
        <v>25</v>
      </c>
      <c r="C1712" s="1" t="s">
        <v>752</v>
      </c>
      <c r="D1712" s="1" t="str">
        <f>Vlookup(C1712,'Oil &amp; Gas Documents - Canada'!F:M,2,FALSE)</f>
        <v>general, oil_and_gas, mining_and_minerals_industry</v>
      </c>
      <c r="E1712" s="1" t="str">
        <f>Vlookup(C1712,'Oil &amp; Gas Documents - Canada'!F:N,9,FALSE)</f>
        <v/>
      </c>
      <c r="F1712" s="1" t="s">
        <v>751</v>
      </c>
      <c r="G1712" s="4" t="str">
        <f>HYPERLINK("http://nimonikapp.com/legislations/3918","http://nimonikapp.com/legislations/3918")</f>
        <v>http://nimonikapp.com/legislations/3918</v>
      </c>
      <c r="H1712" s="1" t="s">
        <v>18</v>
      </c>
      <c r="I1712" s="1" t="s">
        <v>754</v>
      </c>
      <c r="J1712" s="1" t="s">
        <v>755</v>
      </c>
      <c r="K1712" s="5">
        <v>44561.0</v>
      </c>
      <c r="M1712" s="5">
        <v>44566.0</v>
      </c>
      <c r="N1712" s="1" t="s">
        <v>753</v>
      </c>
    </row>
    <row r="1713">
      <c r="A1713" s="1" t="s">
        <v>21</v>
      </c>
      <c r="B1713" s="1" t="s">
        <v>25</v>
      </c>
      <c r="C1713" s="1" t="s">
        <v>756</v>
      </c>
      <c r="D1713" s="1" t="str">
        <f>Vlookup(C1713,'Oil &amp; Gas Documents - Canada'!F:M,2,FALSE)</f>
        <v>general, oil_and_gas</v>
      </c>
      <c r="E1713" s="1" t="str">
        <f>Vlookup(C1713,'Oil &amp; Gas Documents - Canada'!F:N,9,FALSE)</f>
        <v/>
      </c>
      <c r="F1713" s="1" t="s">
        <v>86</v>
      </c>
      <c r="G1713" s="4" t="str">
        <f>HYPERLINK("http://nimonikapp.com/legislations/4036","http://nimonikapp.com/legislations/4036")</f>
        <v>http://nimonikapp.com/legislations/4036</v>
      </c>
      <c r="H1713" s="1" t="s">
        <v>18</v>
      </c>
      <c r="I1713" s="1" t="s">
        <v>754</v>
      </c>
      <c r="J1713" s="1" t="s">
        <v>755</v>
      </c>
      <c r="K1713" s="5">
        <v>44561.0</v>
      </c>
      <c r="M1713" s="5">
        <v>44566.0</v>
      </c>
    </row>
    <row r="1714">
      <c r="A1714" s="1" t="s">
        <v>21</v>
      </c>
      <c r="B1714" s="1" t="s">
        <v>25</v>
      </c>
      <c r="C1714" s="1" t="s">
        <v>758</v>
      </c>
      <c r="D1714" s="1" t="str">
        <f>Vlookup(C1714,'Oil &amp; Gas Documents - Canada'!F:M,2,FALSE)</f>
        <v>oil_and_gas</v>
      </c>
      <c r="E1714" s="1" t="str">
        <f>Vlookup(C1714,'Oil &amp; Gas Documents - Canada'!F:N,9,FALSE)</f>
        <v/>
      </c>
      <c r="F1714" s="1" t="s">
        <v>757</v>
      </c>
      <c r="G1714" s="4" t="str">
        <f>HYPERLINK("http://nimonikapp.com/legislations/660","http://nimonikapp.com/legislations/660")</f>
        <v>http://nimonikapp.com/legislations/660</v>
      </c>
      <c r="H1714" s="1" t="s">
        <v>18</v>
      </c>
      <c r="I1714" s="1" t="s">
        <v>754</v>
      </c>
      <c r="J1714" s="1" t="s">
        <v>755</v>
      </c>
      <c r="K1714" s="5">
        <v>44561.0</v>
      </c>
      <c r="M1714" s="5">
        <v>44566.0</v>
      </c>
      <c r="N1714" s="1" t="s">
        <v>759</v>
      </c>
    </row>
    <row r="1715" hidden="1">
      <c r="A1715" s="1" t="s">
        <v>21</v>
      </c>
      <c r="B1715" s="1" t="s">
        <v>25</v>
      </c>
      <c r="C1715" s="1" t="s">
        <v>2800</v>
      </c>
      <c r="D1715" s="1" t="str">
        <f>Vlookup(C1715,'Oil &amp; Gas Documents - Canada'!F:M,2,FALSE)</f>
        <v>#N/A</v>
      </c>
      <c r="E1715" s="1" t="str">
        <f>Vlookup(C1715,'Oil &amp; Gas Documents - Canada'!F:N,9,FALSE)</f>
        <v>#N/A</v>
      </c>
      <c r="F1715" s="1" t="s">
        <v>1131</v>
      </c>
      <c r="G1715" s="4" t="str">
        <f>HYPERLINK("http://nimonikapp.com/legislations/10311","http://nimonikapp.com/legislations/10311")</f>
        <v>http://nimonikapp.com/legislations/10311</v>
      </c>
      <c r="H1715" s="1" t="s">
        <v>18</v>
      </c>
      <c r="I1715" s="1" t="s">
        <v>4714</v>
      </c>
      <c r="J1715" s="1" t="s">
        <v>4715</v>
      </c>
      <c r="K1715" s="5">
        <v>44561.0</v>
      </c>
      <c r="M1715" s="5">
        <v>44566.0</v>
      </c>
      <c r="N1715" s="1" t="s">
        <v>2803</v>
      </c>
    </row>
    <row r="1716">
      <c r="A1716" s="1" t="s">
        <v>21</v>
      </c>
      <c r="B1716" s="1" t="s">
        <v>25</v>
      </c>
      <c r="C1716" s="1" t="s">
        <v>761</v>
      </c>
      <c r="D1716" s="1" t="str">
        <f>Vlookup(C1716,'Oil &amp; Gas Documents - Canada'!F:M,2,FALSE)</f>
        <v>oil_and_gas, utilities_and_communications</v>
      </c>
      <c r="E1716" s="1" t="str">
        <f>Vlookup(C1716,'Oil &amp; Gas Documents - Canada'!F:N,9,FALSE)</f>
        <v/>
      </c>
      <c r="F1716" s="1" t="s">
        <v>760</v>
      </c>
      <c r="G1716" s="4" t="str">
        <f>HYPERLINK("http://nimonikapp.com/legislations/276242","http://nimonikapp.com/legislations/276242")</f>
        <v>http://nimonikapp.com/legislations/276242</v>
      </c>
      <c r="H1716" s="1" t="s">
        <v>52</v>
      </c>
      <c r="I1716" s="1" t="s">
        <v>754</v>
      </c>
      <c r="J1716" s="1" t="s">
        <v>755</v>
      </c>
      <c r="K1716" s="5">
        <v>44561.0</v>
      </c>
      <c r="M1716" s="5">
        <v>44566.0</v>
      </c>
      <c r="N1716" s="1" t="s">
        <v>762</v>
      </c>
    </row>
    <row r="1717" hidden="1">
      <c r="A1717" s="1" t="s">
        <v>21</v>
      </c>
      <c r="B1717" s="1" t="s">
        <v>25</v>
      </c>
      <c r="C1717" s="1" t="s">
        <v>4716</v>
      </c>
      <c r="D1717" s="1" t="str">
        <f>Vlookup(C1717,'Oil &amp; Gas Documents - Canada'!F:M,2,FALSE)</f>
        <v>#N/A</v>
      </c>
      <c r="E1717" s="1" t="str">
        <f>Vlookup(C1717,'Oil &amp; Gas Documents - Canada'!F:N,9,FALSE)</f>
        <v>#N/A</v>
      </c>
      <c r="F1717" s="1" t="s">
        <v>4717</v>
      </c>
      <c r="G1717" s="4" t="str">
        <f>HYPERLINK("http://nimonikapp.com/legislations/118355","http://nimonikapp.com/legislations/118355")</f>
        <v>http://nimonikapp.com/legislations/118355</v>
      </c>
      <c r="H1717" s="1" t="s">
        <v>18</v>
      </c>
      <c r="I1717" s="1" t="s">
        <v>4718</v>
      </c>
      <c r="J1717" s="1" t="s">
        <v>4719</v>
      </c>
      <c r="K1717" s="5">
        <v>44561.0</v>
      </c>
      <c r="L1717" s="5">
        <v>44538.0</v>
      </c>
      <c r="M1717" s="5">
        <v>44566.0</v>
      </c>
      <c r="N1717" s="1" t="s">
        <v>4720</v>
      </c>
    </row>
    <row r="1718" hidden="1">
      <c r="A1718" s="1" t="s">
        <v>21</v>
      </c>
      <c r="B1718" s="1" t="s">
        <v>25</v>
      </c>
      <c r="C1718" s="1" t="s">
        <v>4721</v>
      </c>
      <c r="D1718" s="1" t="str">
        <f>Vlookup(C1718,'Oil &amp; Gas Documents - Canada'!F:M,2,FALSE)</f>
        <v>#N/A</v>
      </c>
      <c r="E1718" s="1" t="str">
        <f>Vlookup(C1718,'Oil &amp; Gas Documents - Canada'!F:N,9,FALSE)</f>
        <v>#N/A</v>
      </c>
      <c r="F1718" s="1" t="s">
        <v>4722</v>
      </c>
      <c r="G1718" s="4" t="str">
        <f>HYPERLINK("http://nimonikapp.com/legislations/161724","http://nimonikapp.com/legislations/161724")</f>
        <v>http://nimonikapp.com/legislations/161724</v>
      </c>
      <c r="H1718" s="1" t="s">
        <v>18</v>
      </c>
      <c r="I1718" s="1" t="s">
        <v>4723</v>
      </c>
      <c r="J1718" s="1" t="s">
        <v>4724</v>
      </c>
      <c r="K1718" s="5">
        <v>44561.0</v>
      </c>
      <c r="L1718" s="5">
        <v>44538.0</v>
      </c>
      <c r="M1718" s="5">
        <v>44566.0</v>
      </c>
      <c r="N1718" s="1" t="s">
        <v>4725</v>
      </c>
    </row>
    <row r="1719" hidden="1">
      <c r="A1719" s="1" t="s">
        <v>21</v>
      </c>
      <c r="B1719" s="1" t="s">
        <v>25</v>
      </c>
      <c r="C1719" s="1" t="s">
        <v>2320</v>
      </c>
      <c r="D1719" s="1" t="str">
        <f>Vlookup(C1719,'Oil &amp; Gas Documents - Canada'!F:M,2,FALSE)</f>
        <v>#N/A</v>
      </c>
      <c r="E1719" s="1" t="str">
        <f>Vlookup(C1719,'Oil &amp; Gas Documents - Canada'!F:N,9,FALSE)</f>
        <v>#N/A</v>
      </c>
      <c r="F1719" s="1" t="s">
        <v>2321</v>
      </c>
      <c r="G1719" s="4" t="str">
        <f>HYPERLINK("http://nimonikapp.com/legislations/1154","http://nimonikapp.com/legislations/1154")</f>
        <v>http://nimonikapp.com/legislations/1154</v>
      </c>
      <c r="H1719" s="1" t="s">
        <v>18</v>
      </c>
      <c r="I1719" s="1" t="s">
        <v>4726</v>
      </c>
      <c r="J1719" s="1" t="s">
        <v>2323</v>
      </c>
      <c r="K1719" s="5">
        <v>44561.0</v>
      </c>
      <c r="L1719" s="5">
        <v>44562.0</v>
      </c>
      <c r="M1719" s="5">
        <v>44566.0</v>
      </c>
    </row>
    <row r="1720">
      <c r="A1720" s="1" t="s">
        <v>21</v>
      </c>
      <c r="B1720" s="1" t="s">
        <v>25</v>
      </c>
      <c r="C1720" s="1" t="s">
        <v>764</v>
      </c>
      <c r="D1720" s="1" t="str">
        <f>Vlookup(C1720,'Oil &amp; Gas Documents - Canada'!F:M,2,FALSE)</f>
        <v>general, oil_and_gas, mining_and_minerals_industry</v>
      </c>
      <c r="E1720" s="1" t="str">
        <f>Vlookup(C1720,'Oil &amp; Gas Documents - Canada'!F:N,9,FALSE)</f>
        <v/>
      </c>
      <c r="F1720" s="1" t="s">
        <v>763</v>
      </c>
      <c r="G1720" s="4" t="str">
        <f>HYPERLINK("http://nimonikapp.com/legislations/3992","http://nimonikapp.com/legislations/3992")</f>
        <v>http://nimonikapp.com/legislations/3992</v>
      </c>
      <c r="H1720" s="1" t="s">
        <v>18</v>
      </c>
      <c r="I1720" s="1" t="s">
        <v>765</v>
      </c>
      <c r="J1720" s="1" t="s">
        <v>766</v>
      </c>
      <c r="K1720" s="5">
        <v>44561.0</v>
      </c>
      <c r="L1720" s="5">
        <v>44562.0</v>
      </c>
      <c r="M1720" s="5">
        <v>44566.0</v>
      </c>
    </row>
    <row r="1721">
      <c r="A1721" s="1" t="s">
        <v>21</v>
      </c>
      <c r="B1721" s="1" t="s">
        <v>25</v>
      </c>
      <c r="C1721" s="1" t="s">
        <v>638</v>
      </c>
      <c r="D1721" s="1" t="str">
        <f>Vlookup(C1721,'Oil &amp; Gas Documents - Canada'!F:M,2,FALSE)</f>
        <v>general, oil_and_gas, mining_and_minerals_industry</v>
      </c>
      <c r="E1721" s="1" t="str">
        <f>Vlookup(C1721,'Oil &amp; Gas Documents - Canada'!F:N,9,FALSE)</f>
        <v/>
      </c>
      <c r="F1721" s="1" t="s">
        <v>637</v>
      </c>
      <c r="G1721" s="4" t="str">
        <f>HYPERLINK("http://nimonikapp.com/legislations/4100","http://nimonikapp.com/legislations/4100")</f>
        <v>http://nimonikapp.com/legislations/4100</v>
      </c>
      <c r="H1721" s="1" t="s">
        <v>18</v>
      </c>
      <c r="I1721" s="1" t="s">
        <v>767</v>
      </c>
      <c r="J1721" s="1" t="s">
        <v>640</v>
      </c>
      <c r="K1721" s="5">
        <v>44561.0</v>
      </c>
      <c r="L1721" s="5">
        <v>44562.0</v>
      </c>
      <c r="M1721" s="5">
        <v>44566.0</v>
      </c>
    </row>
    <row r="1722" hidden="1">
      <c r="A1722" s="1" t="s">
        <v>21</v>
      </c>
      <c r="B1722" s="1" t="s">
        <v>25</v>
      </c>
      <c r="C1722" s="1" t="s">
        <v>1586</v>
      </c>
      <c r="D1722" s="1" t="str">
        <f>Vlookup(C1722,'Oil &amp; Gas Documents - Canada'!F:M,2,FALSE)</f>
        <v>#N/A</v>
      </c>
      <c r="E1722" s="1" t="str">
        <f>Vlookup(C1722,'Oil &amp; Gas Documents - Canada'!F:N,9,FALSE)</f>
        <v>#N/A</v>
      </c>
      <c r="F1722" s="1" t="s">
        <v>1587</v>
      </c>
      <c r="G1722" s="4" t="str">
        <f>HYPERLINK("http://nimonikapp.com/legislations/1133","http://nimonikapp.com/legislations/1133")</f>
        <v>http://nimonikapp.com/legislations/1133</v>
      </c>
      <c r="H1722" s="1" t="s">
        <v>18</v>
      </c>
      <c r="I1722" s="1" t="s">
        <v>4727</v>
      </c>
      <c r="J1722" s="1" t="s">
        <v>1589</v>
      </c>
      <c r="K1722" s="5">
        <v>44561.0</v>
      </c>
      <c r="L1722" s="5">
        <v>44562.0</v>
      </c>
      <c r="M1722" s="5">
        <v>44566.0</v>
      </c>
      <c r="N1722" s="1" t="s">
        <v>1590</v>
      </c>
    </row>
    <row r="1723" hidden="1">
      <c r="A1723" s="1" t="s">
        <v>21</v>
      </c>
      <c r="B1723" s="1" t="s">
        <v>25</v>
      </c>
      <c r="C1723" s="1" t="s">
        <v>1299</v>
      </c>
      <c r="D1723" s="1" t="str">
        <f>Vlookup(C1723,'Oil &amp; Gas Documents - Canada'!F:M,2,FALSE)</f>
        <v>#N/A</v>
      </c>
      <c r="E1723" s="1" t="str">
        <f>Vlookup(C1723,'Oil &amp; Gas Documents - Canada'!F:N,9,FALSE)</f>
        <v>#N/A</v>
      </c>
      <c r="F1723" s="1" t="s">
        <v>1300</v>
      </c>
      <c r="G1723" s="4" t="str">
        <f>HYPERLINK("http://nimonikapp.com/legislations/4027","http://nimonikapp.com/legislations/4027")</f>
        <v>http://nimonikapp.com/legislations/4027</v>
      </c>
      <c r="H1723" s="1" t="s">
        <v>18</v>
      </c>
      <c r="I1723" s="1" t="s">
        <v>4728</v>
      </c>
      <c r="J1723" s="1" t="s">
        <v>4729</v>
      </c>
      <c r="K1723" s="5">
        <v>44561.0</v>
      </c>
      <c r="L1723" s="5">
        <v>44575.0</v>
      </c>
      <c r="M1723" s="5">
        <v>44566.0</v>
      </c>
      <c r="N1723" s="1" t="s">
        <v>1301</v>
      </c>
    </row>
    <row r="1724" hidden="1">
      <c r="A1724" s="1" t="s">
        <v>21</v>
      </c>
      <c r="B1724" s="1" t="s">
        <v>25</v>
      </c>
      <c r="C1724" s="1" t="s">
        <v>4730</v>
      </c>
      <c r="D1724" s="1" t="str">
        <f>Vlookup(C1724,'Oil &amp; Gas Documents - Canada'!F:M,2,FALSE)</f>
        <v>#N/A</v>
      </c>
      <c r="E1724" s="1" t="str">
        <f>Vlookup(C1724,'Oil &amp; Gas Documents - Canada'!F:N,9,FALSE)</f>
        <v>#N/A</v>
      </c>
      <c r="F1724" s="1" t="s">
        <v>4731</v>
      </c>
      <c r="G1724" s="4" t="str">
        <f>HYPERLINK("http://nimonikapp.com/legislations/1143","http://nimonikapp.com/legislations/1143")</f>
        <v>http://nimonikapp.com/legislations/1143</v>
      </c>
      <c r="H1724" s="1" t="s">
        <v>18</v>
      </c>
      <c r="I1724" s="1" t="s">
        <v>4732</v>
      </c>
      <c r="J1724" s="1" t="s">
        <v>4733</v>
      </c>
      <c r="K1724" s="5">
        <v>44561.0</v>
      </c>
      <c r="L1724" s="5">
        <v>44545.0</v>
      </c>
      <c r="M1724" s="5">
        <v>44566.0</v>
      </c>
      <c r="N1724" s="1" t="s">
        <v>4734</v>
      </c>
    </row>
    <row r="1725" hidden="1">
      <c r="A1725" s="1" t="s">
        <v>66</v>
      </c>
      <c r="B1725" s="1" t="s">
        <v>25</v>
      </c>
      <c r="C1725" s="1" t="s">
        <v>1602</v>
      </c>
      <c r="D1725" s="1" t="str">
        <f>Vlookup(C1725,'Oil &amp; Gas Documents - Canada'!F:M,2,FALSE)</f>
        <v>#N/A</v>
      </c>
      <c r="E1725" s="1" t="str">
        <f>Vlookup(C1725,'Oil &amp; Gas Documents - Canada'!F:N,9,FALSE)</f>
        <v>#N/A</v>
      </c>
      <c r="F1725" s="1" t="s">
        <v>1603</v>
      </c>
      <c r="G1725" s="4" t="str">
        <f>HYPERLINK("http://nimonikapp.com/legislations/316049","http://nimonikapp.com/legislations/316049")</f>
        <v>http://nimonikapp.com/legislations/316049</v>
      </c>
      <c r="H1725" s="1" t="s">
        <v>18</v>
      </c>
      <c r="I1725" s="1" t="s">
        <v>4735</v>
      </c>
      <c r="J1725" s="1" t="s">
        <v>4736</v>
      </c>
      <c r="K1725" s="5">
        <v>44547.0</v>
      </c>
      <c r="L1725" s="5">
        <v>44547.0</v>
      </c>
      <c r="M1725" s="5">
        <v>44566.0</v>
      </c>
      <c r="N1725" s="1" t="s">
        <v>1606</v>
      </c>
    </row>
    <row r="1726" hidden="1">
      <c r="A1726" s="1" t="s">
        <v>70</v>
      </c>
      <c r="B1726" s="1" t="s">
        <v>15</v>
      </c>
      <c r="C1726" s="1" t="s">
        <v>4737</v>
      </c>
      <c r="D1726" s="1" t="str">
        <f>Vlookup(C1726,'Oil &amp; Gas Documents - Canada'!F:M,2,FALSE)</f>
        <v>#N/A</v>
      </c>
      <c r="E1726" s="1" t="str">
        <f>Vlookup(C1726,'Oil &amp; Gas Documents - Canada'!F:N,9,FALSE)</f>
        <v>#N/A</v>
      </c>
      <c r="F1726" s="1" t="s">
        <v>4738</v>
      </c>
      <c r="G1726" s="4" t="str">
        <f>HYPERLINK("http://nimonikapp.com/legislations/318426","http://nimonikapp.com/legislations/318426")</f>
        <v>http://nimonikapp.com/legislations/318426</v>
      </c>
      <c r="H1726" s="1" t="s">
        <v>18</v>
      </c>
      <c r="K1726" s="5">
        <v>44569.0</v>
      </c>
      <c r="L1726" s="5">
        <v>44562.0</v>
      </c>
      <c r="M1726" s="5">
        <v>44565.0</v>
      </c>
    </row>
    <row r="1727" hidden="1">
      <c r="A1727" s="1" t="s">
        <v>70</v>
      </c>
      <c r="B1727" s="1" t="s">
        <v>15</v>
      </c>
      <c r="C1727" s="1" t="s">
        <v>4739</v>
      </c>
      <c r="D1727" s="1" t="str">
        <f>Vlookup(C1727,'Oil &amp; Gas Documents - Canada'!F:M,2,FALSE)</f>
        <v>#N/A</v>
      </c>
      <c r="E1727" s="1" t="str">
        <f>Vlookup(C1727,'Oil &amp; Gas Documents - Canada'!F:N,9,FALSE)</f>
        <v>#N/A</v>
      </c>
      <c r="F1727" s="1" t="s">
        <v>4740</v>
      </c>
      <c r="G1727" s="4" t="str">
        <f>HYPERLINK("http://nimonikapp.com/legislations/318425","http://nimonikapp.com/legislations/318425")</f>
        <v>http://nimonikapp.com/legislations/318425</v>
      </c>
      <c r="H1727" s="1" t="s">
        <v>18</v>
      </c>
      <c r="K1727" s="5">
        <v>44569.0</v>
      </c>
      <c r="L1727" s="5">
        <v>44562.0</v>
      </c>
      <c r="M1727" s="5">
        <v>44565.0</v>
      </c>
    </row>
    <row r="1728" hidden="1">
      <c r="A1728" s="1" t="s">
        <v>70</v>
      </c>
      <c r="B1728" s="1" t="s">
        <v>15</v>
      </c>
      <c r="C1728" s="1" t="s">
        <v>4741</v>
      </c>
      <c r="D1728" s="1" t="str">
        <f>Vlookup(C1728,'Oil &amp; Gas Documents - Canada'!F:M,2,FALSE)</f>
        <v>#N/A</v>
      </c>
      <c r="E1728" s="1" t="str">
        <f>Vlookup(C1728,'Oil &amp; Gas Documents - Canada'!F:N,9,FALSE)</f>
        <v>#N/A</v>
      </c>
      <c r="F1728" s="1" t="s">
        <v>4742</v>
      </c>
      <c r="G1728" s="4" t="str">
        <f>HYPERLINK("http://nimonikapp.com/legislations/318424","http://nimonikapp.com/legislations/318424")</f>
        <v>http://nimonikapp.com/legislations/318424</v>
      </c>
      <c r="H1728" s="1" t="s">
        <v>18</v>
      </c>
      <c r="K1728" s="5">
        <v>44569.0</v>
      </c>
      <c r="L1728" s="5">
        <v>44562.0</v>
      </c>
      <c r="M1728" s="5">
        <v>44565.0</v>
      </c>
    </row>
    <row r="1729" hidden="1">
      <c r="A1729" s="1" t="s">
        <v>70</v>
      </c>
      <c r="B1729" s="1" t="s">
        <v>15</v>
      </c>
      <c r="C1729" s="1" t="s">
        <v>4743</v>
      </c>
      <c r="D1729" s="1" t="str">
        <f>Vlookup(C1729,'Oil &amp; Gas Documents - Canada'!F:M,2,FALSE)</f>
        <v>#N/A</v>
      </c>
      <c r="E1729" s="1" t="str">
        <f>Vlookup(C1729,'Oil &amp; Gas Documents - Canada'!F:N,9,FALSE)</f>
        <v>#N/A</v>
      </c>
      <c r="F1729" s="1" t="s">
        <v>4744</v>
      </c>
      <c r="G1729" s="4" t="str">
        <f>HYPERLINK("http://nimonikapp.com/legislations/318422","http://nimonikapp.com/legislations/318422")</f>
        <v>http://nimonikapp.com/legislations/318422</v>
      </c>
      <c r="H1729" s="1" t="s">
        <v>18</v>
      </c>
      <c r="K1729" s="5">
        <v>44569.0</v>
      </c>
      <c r="L1729" s="5">
        <v>44562.0</v>
      </c>
      <c r="M1729" s="5">
        <v>44565.0</v>
      </c>
    </row>
    <row r="1730" hidden="1">
      <c r="A1730" s="1" t="s">
        <v>70</v>
      </c>
      <c r="B1730" s="1" t="s">
        <v>15</v>
      </c>
      <c r="C1730" s="1" t="s">
        <v>4745</v>
      </c>
      <c r="D1730" s="1" t="str">
        <f>Vlookup(C1730,'Oil &amp; Gas Documents - Canada'!F:M,2,FALSE)</f>
        <v>#N/A</v>
      </c>
      <c r="E1730" s="1" t="str">
        <f>Vlookup(C1730,'Oil &amp; Gas Documents - Canada'!F:N,9,FALSE)</f>
        <v>#N/A</v>
      </c>
      <c r="F1730" s="1" t="s">
        <v>4746</v>
      </c>
      <c r="G1730" s="4" t="str">
        <f>HYPERLINK("http://nimonikapp.com/legislations/318417","http://nimonikapp.com/legislations/318417")</f>
        <v>http://nimonikapp.com/legislations/318417</v>
      </c>
      <c r="H1730" s="1" t="s">
        <v>18</v>
      </c>
      <c r="K1730" s="5">
        <v>44562.0</v>
      </c>
      <c r="L1730" s="5">
        <v>44562.0</v>
      </c>
      <c r="M1730" s="5">
        <v>44565.0</v>
      </c>
    </row>
    <row r="1731" hidden="1">
      <c r="A1731" s="1" t="s">
        <v>202</v>
      </c>
      <c r="B1731" s="1" t="s">
        <v>25</v>
      </c>
      <c r="C1731" s="1" t="s">
        <v>2154</v>
      </c>
      <c r="D1731" s="1" t="str">
        <f>Vlookup(C1731,'Oil &amp; Gas Documents - Canada'!F:M,2,FALSE)</f>
        <v>#N/A</v>
      </c>
      <c r="E1731" s="1" t="str">
        <f>Vlookup(C1731,'Oil &amp; Gas Documents - Canada'!F:N,9,FALSE)</f>
        <v>#N/A</v>
      </c>
      <c r="F1731" s="1" t="s">
        <v>2155</v>
      </c>
      <c r="G1731" s="4" t="str">
        <f>HYPERLINK("http://nimonikapp.com/legislations/110762","http://nimonikapp.com/legislations/110762")</f>
        <v>http://nimonikapp.com/legislations/110762</v>
      </c>
      <c r="H1731" s="1" t="s">
        <v>18</v>
      </c>
      <c r="I1731" s="1" t="s">
        <v>4747</v>
      </c>
      <c r="J1731" s="1" t="s">
        <v>4748</v>
      </c>
      <c r="K1731" s="5">
        <v>44540.0</v>
      </c>
      <c r="L1731" s="5">
        <v>44540.0</v>
      </c>
      <c r="M1731" s="5">
        <v>44565.0</v>
      </c>
      <c r="N1731" s="1" t="s">
        <v>2158</v>
      </c>
    </row>
    <row r="1732" hidden="1">
      <c r="A1732" s="1" t="s">
        <v>202</v>
      </c>
      <c r="B1732" s="1" t="s">
        <v>25</v>
      </c>
      <c r="C1732" s="1" t="s">
        <v>4749</v>
      </c>
      <c r="D1732" s="1" t="str">
        <f>Vlookup(C1732,'Oil &amp; Gas Documents - Canada'!F:M,2,FALSE)</f>
        <v>#N/A</v>
      </c>
      <c r="E1732" s="1" t="str">
        <f>Vlookup(C1732,'Oil &amp; Gas Documents - Canada'!F:N,9,FALSE)</f>
        <v>#N/A</v>
      </c>
      <c r="F1732" s="1" t="s">
        <v>4750</v>
      </c>
      <c r="G1732" s="4" t="str">
        <f>HYPERLINK("http://nimonikapp.com/legislations/6628","http://nimonikapp.com/legislations/6628")</f>
        <v>http://nimonikapp.com/legislations/6628</v>
      </c>
      <c r="H1732" s="1" t="s">
        <v>18</v>
      </c>
      <c r="I1732" s="1" t="s">
        <v>4747</v>
      </c>
      <c r="J1732" s="1" t="s">
        <v>4748</v>
      </c>
      <c r="K1732" s="5">
        <v>44540.0</v>
      </c>
      <c r="L1732" s="5">
        <v>44540.0</v>
      </c>
      <c r="M1732" s="5">
        <v>44565.0</v>
      </c>
      <c r="N1732" s="1" t="s">
        <v>4751</v>
      </c>
    </row>
    <row r="1733" hidden="1">
      <c r="A1733" s="1" t="s">
        <v>486</v>
      </c>
      <c r="B1733" s="1" t="s">
        <v>25</v>
      </c>
      <c r="C1733" s="1" t="s">
        <v>4752</v>
      </c>
      <c r="D1733" s="1" t="str">
        <f>Vlookup(C1733,'Oil &amp; Gas Documents - Canada'!F:M,2,FALSE)</f>
        <v>#N/A</v>
      </c>
      <c r="E1733" s="1" t="str">
        <f>Vlookup(C1733,'Oil &amp; Gas Documents - Canada'!F:N,9,FALSE)</f>
        <v>#N/A</v>
      </c>
      <c r="F1733" s="1" t="s">
        <v>4753</v>
      </c>
      <c r="G1733" s="4" t="str">
        <f>HYPERLINK("http://nimonikapp.com/legislations/117412","http://nimonikapp.com/legislations/117412")</f>
        <v>http://nimonikapp.com/legislations/117412</v>
      </c>
      <c r="H1733" s="1" t="s">
        <v>18</v>
      </c>
      <c r="I1733" s="1" t="s">
        <v>4754</v>
      </c>
      <c r="J1733" s="1" t="s">
        <v>4755</v>
      </c>
      <c r="K1733" s="5">
        <v>44555.0</v>
      </c>
      <c r="L1733" s="5">
        <v>44555.0</v>
      </c>
      <c r="M1733" s="5">
        <v>44565.0</v>
      </c>
    </row>
    <row r="1734" hidden="1">
      <c r="A1734" s="1" t="s">
        <v>486</v>
      </c>
      <c r="B1734" s="1" t="s">
        <v>25</v>
      </c>
      <c r="C1734" s="1" t="s">
        <v>4756</v>
      </c>
      <c r="D1734" s="1" t="str">
        <f>Vlookup(C1734,'Oil &amp; Gas Documents - Canada'!F:M,2,FALSE)</f>
        <v>#N/A</v>
      </c>
      <c r="E1734" s="1" t="str">
        <f>Vlookup(C1734,'Oil &amp; Gas Documents - Canada'!F:N,9,FALSE)</f>
        <v>#N/A</v>
      </c>
      <c r="F1734" s="1" t="s">
        <v>816</v>
      </c>
      <c r="G1734" s="4" t="str">
        <f>HYPERLINK("http://nimonikapp.com/legislations/117389","http://nimonikapp.com/legislations/117389")</f>
        <v>http://nimonikapp.com/legislations/117389</v>
      </c>
      <c r="H1734" s="1" t="s">
        <v>18</v>
      </c>
      <c r="I1734" s="1" t="s">
        <v>4757</v>
      </c>
      <c r="J1734" s="1" t="s">
        <v>4758</v>
      </c>
      <c r="K1734" s="5">
        <v>44555.0</v>
      </c>
      <c r="M1734" s="5">
        <v>44565.0</v>
      </c>
      <c r="N1734" s="1" t="s">
        <v>4759</v>
      </c>
    </row>
    <row r="1735" hidden="1">
      <c r="A1735" s="1" t="s">
        <v>557</v>
      </c>
      <c r="B1735" s="1" t="s">
        <v>25</v>
      </c>
      <c r="C1735" s="1" t="s">
        <v>1540</v>
      </c>
      <c r="D1735" s="1" t="str">
        <f>Vlookup(C1735,'Oil &amp; Gas Documents - Canada'!F:M,2,FALSE)</f>
        <v>#N/A</v>
      </c>
      <c r="E1735" s="1" t="str">
        <f>Vlookup(C1735,'Oil &amp; Gas Documents - Canada'!F:N,9,FALSE)</f>
        <v>#N/A</v>
      </c>
      <c r="F1735" s="1" t="s">
        <v>1541</v>
      </c>
      <c r="G1735" s="4" t="str">
        <f>HYPERLINK("http://nimonikapp.com/legislations/1519","http://nimonikapp.com/legislations/1519")</f>
        <v>http://nimonikapp.com/legislations/1519</v>
      </c>
      <c r="H1735" s="1" t="s">
        <v>18</v>
      </c>
      <c r="I1735" s="1" t="s">
        <v>4760</v>
      </c>
      <c r="J1735" s="1" t="s">
        <v>1543</v>
      </c>
      <c r="K1735" s="5">
        <v>44561.0</v>
      </c>
      <c r="L1735" s="5">
        <v>44562.0</v>
      </c>
      <c r="M1735" s="5">
        <v>44565.0</v>
      </c>
      <c r="N1735" s="1" t="s">
        <v>1544</v>
      </c>
    </row>
    <row r="1736" hidden="1">
      <c r="A1736" s="1" t="s">
        <v>70</v>
      </c>
      <c r="B1736" s="1" t="s">
        <v>364</v>
      </c>
      <c r="C1736" s="1" t="s">
        <v>4761</v>
      </c>
      <c r="D1736" s="1" t="str">
        <f>Vlookup(C1736,'Oil &amp; Gas Documents - Canada'!F:M,2,FALSE)</f>
        <v>#N/A</v>
      </c>
      <c r="E1736" s="1" t="str">
        <f>Vlookup(C1736,'Oil &amp; Gas Documents - Canada'!F:N,9,FALSE)</f>
        <v>#N/A</v>
      </c>
      <c r="F1736" s="1" t="s">
        <v>4762</v>
      </c>
      <c r="G1736" s="4" t="str">
        <f>HYPERLINK("http://nimonikapp.com/legislations/3958","http://nimonikapp.com/legislations/3958")</f>
        <v>http://nimonikapp.com/legislations/3958</v>
      </c>
      <c r="H1736" s="1" t="s">
        <v>356</v>
      </c>
      <c r="I1736" s="1" t="s">
        <v>4763</v>
      </c>
      <c r="J1736" s="1" t="s">
        <v>4764</v>
      </c>
      <c r="K1736" s="5">
        <v>44562.0</v>
      </c>
      <c r="M1736" s="5">
        <v>44565.0</v>
      </c>
      <c r="N1736" s="1" t="s">
        <v>4765</v>
      </c>
    </row>
    <row r="1737" hidden="1">
      <c r="A1737" s="1" t="s">
        <v>70</v>
      </c>
      <c r="B1737" s="1" t="s">
        <v>364</v>
      </c>
      <c r="C1737" s="1" t="s">
        <v>4766</v>
      </c>
      <c r="D1737" s="1" t="str">
        <f>Vlookup(C1737,'Oil &amp; Gas Documents - Canada'!F:M,2,FALSE)</f>
        <v>#N/A</v>
      </c>
      <c r="E1737" s="1" t="str">
        <f>Vlookup(C1737,'Oil &amp; Gas Documents - Canada'!F:N,9,FALSE)</f>
        <v>#N/A</v>
      </c>
      <c r="F1737" s="1" t="s">
        <v>4767</v>
      </c>
      <c r="G1737" s="4" t="str">
        <f>HYPERLINK("http://nimonikapp.com/legislations/127157","http://nimonikapp.com/legislations/127157")</f>
        <v>http://nimonikapp.com/legislations/127157</v>
      </c>
      <c r="H1737" s="1" t="s">
        <v>356</v>
      </c>
      <c r="I1737" s="1" t="s">
        <v>4768</v>
      </c>
      <c r="J1737" s="1" t="s">
        <v>4769</v>
      </c>
      <c r="K1737" s="5">
        <v>44562.0</v>
      </c>
      <c r="M1737" s="5">
        <v>44565.0</v>
      </c>
      <c r="N1737" s="1" t="s">
        <v>4770</v>
      </c>
    </row>
    <row r="1738" hidden="1">
      <c r="A1738" s="1" t="s">
        <v>70</v>
      </c>
      <c r="B1738" s="1" t="s">
        <v>25</v>
      </c>
      <c r="C1738" s="1" t="s">
        <v>4771</v>
      </c>
      <c r="D1738" s="1" t="str">
        <f>Vlookup(C1738,'Oil &amp; Gas Documents - Canada'!F:M,2,FALSE)</f>
        <v>#N/A</v>
      </c>
      <c r="E1738" s="1" t="str">
        <f>Vlookup(C1738,'Oil &amp; Gas Documents - Canada'!F:N,9,FALSE)</f>
        <v>#N/A</v>
      </c>
      <c r="F1738" s="1" t="s">
        <v>1154</v>
      </c>
      <c r="G1738" s="4" t="str">
        <f>HYPERLINK("http://nimonikapp.com/legislations/323","http://nimonikapp.com/legislations/323")</f>
        <v>http://nimonikapp.com/legislations/323</v>
      </c>
      <c r="H1738" s="1" t="s">
        <v>18</v>
      </c>
      <c r="I1738" s="1" t="s">
        <v>4772</v>
      </c>
      <c r="J1738" s="1" t="s">
        <v>4773</v>
      </c>
      <c r="K1738" s="5">
        <v>44562.0</v>
      </c>
      <c r="M1738" s="5">
        <v>44565.0</v>
      </c>
    </row>
    <row r="1739" hidden="1">
      <c r="A1739" s="1" t="s">
        <v>70</v>
      </c>
      <c r="B1739" s="1" t="s">
        <v>25</v>
      </c>
      <c r="C1739" s="1" t="s">
        <v>4022</v>
      </c>
      <c r="D1739" s="1" t="str">
        <f>Vlookup(C1739,'Oil &amp; Gas Documents - Canada'!F:M,2,FALSE)</f>
        <v>#N/A</v>
      </c>
      <c r="E1739" s="1" t="str">
        <f>Vlookup(C1739,'Oil &amp; Gas Documents - Canada'!F:N,9,FALSE)</f>
        <v>#N/A</v>
      </c>
      <c r="F1739" s="1" t="s">
        <v>4023</v>
      </c>
      <c r="G1739" s="4" t="str">
        <f>HYPERLINK("http://nimonikapp.com/legislations/585","http://nimonikapp.com/legislations/585")</f>
        <v>http://nimonikapp.com/legislations/585</v>
      </c>
      <c r="H1739" s="1" t="s">
        <v>18</v>
      </c>
      <c r="I1739" s="1" t="s">
        <v>4772</v>
      </c>
      <c r="J1739" s="1" t="s">
        <v>4773</v>
      </c>
      <c r="K1739" s="5">
        <v>44562.0</v>
      </c>
      <c r="M1739" s="5">
        <v>44565.0</v>
      </c>
      <c r="N1739" s="1" t="s">
        <v>4024</v>
      </c>
    </row>
    <row r="1740" hidden="1">
      <c r="A1740" s="1" t="s">
        <v>70</v>
      </c>
      <c r="B1740" s="1" t="s">
        <v>25</v>
      </c>
      <c r="C1740" s="1" t="s">
        <v>1806</v>
      </c>
      <c r="D1740" s="1" t="str">
        <f>Vlookup(C1740,'Oil &amp; Gas Documents - Canada'!F:M,2,FALSE)</f>
        <v>#N/A</v>
      </c>
      <c r="E1740" s="1" t="str">
        <f>Vlookup(C1740,'Oil &amp; Gas Documents - Canada'!F:N,9,FALSE)</f>
        <v>#N/A</v>
      </c>
      <c r="F1740" s="1" t="s">
        <v>1807</v>
      </c>
      <c r="G1740" s="4" t="str">
        <f>HYPERLINK("http://nimonikapp.com/legislations/128","http://nimonikapp.com/legislations/128")</f>
        <v>http://nimonikapp.com/legislations/128</v>
      </c>
      <c r="H1740" s="1" t="s">
        <v>18</v>
      </c>
      <c r="I1740" s="1" t="s">
        <v>4774</v>
      </c>
      <c r="J1740" s="1" t="s">
        <v>4775</v>
      </c>
      <c r="K1740" s="5">
        <v>44562.0</v>
      </c>
      <c r="M1740" s="5">
        <v>44565.0</v>
      </c>
      <c r="N1740" s="1" t="s">
        <v>1810</v>
      </c>
    </row>
    <row r="1741" hidden="1">
      <c r="A1741" s="1" t="s">
        <v>70</v>
      </c>
      <c r="B1741" s="1" t="s">
        <v>25</v>
      </c>
      <c r="C1741" s="1" t="s">
        <v>4776</v>
      </c>
      <c r="D1741" s="1" t="str">
        <f>Vlookup(C1741,'Oil &amp; Gas Documents - Canada'!F:M,2,FALSE)</f>
        <v>#N/A</v>
      </c>
      <c r="E1741" s="1" t="str">
        <f>Vlookup(C1741,'Oil &amp; Gas Documents - Canada'!F:N,9,FALSE)</f>
        <v>#N/A</v>
      </c>
      <c r="F1741" s="1" t="s">
        <v>4777</v>
      </c>
      <c r="G1741" s="4" t="str">
        <f>HYPERLINK("http://nimonikapp.com/legislations/28","http://nimonikapp.com/legislations/28")</f>
        <v>http://nimonikapp.com/legislations/28</v>
      </c>
      <c r="H1741" s="1" t="s">
        <v>18</v>
      </c>
      <c r="I1741" s="1" t="s">
        <v>4778</v>
      </c>
      <c r="J1741" s="1" t="s">
        <v>4779</v>
      </c>
      <c r="K1741" s="5">
        <v>44562.0</v>
      </c>
      <c r="M1741" s="5">
        <v>44565.0</v>
      </c>
    </row>
    <row r="1742" hidden="1">
      <c r="A1742" s="1" t="s">
        <v>70</v>
      </c>
      <c r="B1742" s="1" t="s">
        <v>25</v>
      </c>
      <c r="C1742" s="1" t="s">
        <v>4780</v>
      </c>
      <c r="D1742" s="1" t="str">
        <f>Vlookup(C1742,'Oil &amp; Gas Documents - Canada'!F:M,2,FALSE)</f>
        <v>#N/A</v>
      </c>
      <c r="E1742" s="1" t="str">
        <f>Vlookup(C1742,'Oil &amp; Gas Documents - Canada'!F:N,9,FALSE)</f>
        <v>#N/A</v>
      </c>
      <c r="F1742" s="1" t="s">
        <v>4781</v>
      </c>
      <c r="G1742" s="4" t="str">
        <f>HYPERLINK("http://nimonikapp.com/legislations/296126","http://nimonikapp.com/legislations/296126")</f>
        <v>http://nimonikapp.com/legislations/296126</v>
      </c>
      <c r="H1742" s="1" t="s">
        <v>18</v>
      </c>
      <c r="I1742" s="1" t="s">
        <v>4768</v>
      </c>
      <c r="J1742" s="1" t="s">
        <v>4769</v>
      </c>
      <c r="K1742" s="5">
        <v>44562.0</v>
      </c>
      <c r="M1742" s="5">
        <v>44565.0</v>
      </c>
      <c r="N1742" s="1" t="s">
        <v>4782</v>
      </c>
    </row>
    <row r="1743" hidden="1">
      <c r="A1743" s="1" t="s">
        <v>70</v>
      </c>
      <c r="B1743" s="1" t="s">
        <v>25</v>
      </c>
      <c r="C1743" s="1" t="s">
        <v>3840</v>
      </c>
      <c r="D1743" s="1" t="str">
        <f>Vlookup(C1743,'Oil &amp; Gas Documents - Canada'!F:M,2,FALSE)</f>
        <v>#N/A</v>
      </c>
      <c r="E1743" s="1" t="str">
        <f>Vlookup(C1743,'Oil &amp; Gas Documents - Canada'!F:N,9,FALSE)</f>
        <v>#N/A</v>
      </c>
      <c r="F1743" s="1" t="s">
        <v>3042</v>
      </c>
      <c r="G1743" s="4" t="str">
        <f>HYPERLINK("http://nimonikapp.com/legislations/65","http://nimonikapp.com/legislations/65")</f>
        <v>http://nimonikapp.com/legislations/65</v>
      </c>
      <c r="H1743" s="1" t="s">
        <v>18</v>
      </c>
      <c r="I1743" s="1" t="s">
        <v>4783</v>
      </c>
      <c r="J1743" s="1" t="s">
        <v>4784</v>
      </c>
      <c r="K1743" s="5">
        <v>44562.0</v>
      </c>
      <c r="M1743" s="5">
        <v>44565.0</v>
      </c>
      <c r="N1743" s="1" t="s">
        <v>3843</v>
      </c>
    </row>
    <row r="1744" hidden="1">
      <c r="A1744" s="1" t="s">
        <v>70</v>
      </c>
      <c r="B1744" s="1" t="s">
        <v>352</v>
      </c>
      <c r="C1744" s="1" t="s">
        <v>4785</v>
      </c>
      <c r="D1744" s="1" t="str">
        <f>Vlookup(C1744,'Oil &amp; Gas Documents - Canada'!F:M,2,FALSE)</f>
        <v>#N/A</v>
      </c>
      <c r="E1744" s="1" t="str">
        <f>Vlookup(C1744,'Oil &amp; Gas Documents - Canada'!F:N,9,FALSE)</f>
        <v>#N/A</v>
      </c>
      <c r="F1744" s="1" t="s">
        <v>4786</v>
      </c>
      <c r="G1744" s="4" t="str">
        <f>HYPERLINK("http://nimonikapp.com/legislations/4155","http://nimonikapp.com/legislations/4155")</f>
        <v>http://nimonikapp.com/legislations/4155</v>
      </c>
      <c r="H1744" s="1" t="s">
        <v>356</v>
      </c>
      <c r="I1744" s="1" t="s">
        <v>4787</v>
      </c>
      <c r="J1744" s="1" t="s">
        <v>3505</v>
      </c>
      <c r="K1744" s="5">
        <v>44569.0</v>
      </c>
      <c r="L1744" s="5">
        <v>44562.0</v>
      </c>
      <c r="M1744" s="5">
        <v>44565.0</v>
      </c>
    </row>
    <row r="1745" hidden="1">
      <c r="A1745" s="1" t="s">
        <v>70</v>
      </c>
      <c r="B1745" s="1" t="s">
        <v>352</v>
      </c>
      <c r="C1745" s="1" t="s">
        <v>4788</v>
      </c>
      <c r="D1745" s="1" t="str">
        <f>Vlookup(C1745,'Oil &amp; Gas Documents - Canada'!F:M,2,FALSE)</f>
        <v>#N/A</v>
      </c>
      <c r="E1745" s="1" t="str">
        <f>Vlookup(C1745,'Oil &amp; Gas Documents - Canada'!F:N,9,FALSE)</f>
        <v>#N/A</v>
      </c>
      <c r="F1745" s="1" t="s">
        <v>4789</v>
      </c>
      <c r="G1745" s="4" t="str">
        <f>HYPERLINK("http://nimonikapp.com/legislations/3960","http://nimonikapp.com/legislations/3960")</f>
        <v>http://nimonikapp.com/legislations/3960</v>
      </c>
      <c r="H1745" s="1" t="s">
        <v>356</v>
      </c>
      <c r="I1745" s="1" t="s">
        <v>4787</v>
      </c>
      <c r="J1745" s="1" t="s">
        <v>3505</v>
      </c>
      <c r="K1745" s="5">
        <v>44569.0</v>
      </c>
      <c r="L1745" s="5">
        <v>44562.0</v>
      </c>
      <c r="M1745" s="5">
        <v>44565.0</v>
      </c>
      <c r="N1745" s="1" t="s">
        <v>4790</v>
      </c>
    </row>
    <row r="1746" hidden="1">
      <c r="A1746" s="1" t="s">
        <v>70</v>
      </c>
      <c r="B1746" s="1" t="s">
        <v>352</v>
      </c>
      <c r="C1746" s="1" t="s">
        <v>4791</v>
      </c>
      <c r="D1746" s="1" t="str">
        <f>Vlookup(C1746,'Oil &amp; Gas Documents - Canada'!F:M,2,FALSE)</f>
        <v>#N/A</v>
      </c>
      <c r="E1746" s="1" t="str">
        <f>Vlookup(C1746,'Oil &amp; Gas Documents - Canada'!F:N,9,FALSE)</f>
        <v>#N/A</v>
      </c>
      <c r="F1746" s="1" t="s">
        <v>4792</v>
      </c>
      <c r="G1746" s="4" t="str">
        <f>HYPERLINK("http://nimonikapp.com/legislations/3973","http://nimonikapp.com/legislations/3973")</f>
        <v>http://nimonikapp.com/legislations/3973</v>
      </c>
      <c r="H1746" s="1" t="s">
        <v>356</v>
      </c>
      <c r="I1746" s="1" t="s">
        <v>4787</v>
      </c>
      <c r="J1746" s="1" t="s">
        <v>3505</v>
      </c>
      <c r="K1746" s="5">
        <v>44569.0</v>
      </c>
      <c r="L1746" s="5">
        <v>44562.0</v>
      </c>
      <c r="M1746" s="5">
        <v>44565.0</v>
      </c>
      <c r="N1746" s="1" t="s">
        <v>4790</v>
      </c>
    </row>
    <row r="1747" hidden="1">
      <c r="A1747" s="1" t="s">
        <v>70</v>
      </c>
      <c r="B1747" s="1" t="s">
        <v>352</v>
      </c>
      <c r="C1747" s="1" t="s">
        <v>4793</v>
      </c>
      <c r="D1747" s="1" t="str">
        <f>Vlookup(C1747,'Oil &amp; Gas Documents - Canada'!F:M,2,FALSE)</f>
        <v>#N/A</v>
      </c>
      <c r="E1747" s="1" t="str">
        <f>Vlookup(C1747,'Oil &amp; Gas Documents - Canada'!F:N,9,FALSE)</f>
        <v>#N/A</v>
      </c>
      <c r="F1747" s="1" t="s">
        <v>4794</v>
      </c>
      <c r="G1747" s="4" t="str">
        <f>HYPERLINK("http://nimonikapp.com/legislations/310226","http://nimonikapp.com/legislations/310226")</f>
        <v>http://nimonikapp.com/legislations/310226</v>
      </c>
      <c r="H1747" s="1" t="s">
        <v>356</v>
      </c>
      <c r="I1747" s="1" t="s">
        <v>4787</v>
      </c>
      <c r="J1747" s="1" t="s">
        <v>3505</v>
      </c>
      <c r="K1747" s="5">
        <v>44569.0</v>
      </c>
      <c r="L1747" s="5">
        <v>44562.0</v>
      </c>
      <c r="M1747" s="5">
        <v>44565.0</v>
      </c>
      <c r="N1747" s="1" t="s">
        <v>4795</v>
      </c>
    </row>
    <row r="1748" hidden="1">
      <c r="A1748" s="1" t="s">
        <v>70</v>
      </c>
      <c r="B1748" s="1" t="s">
        <v>25</v>
      </c>
      <c r="C1748" s="1" t="s">
        <v>3383</v>
      </c>
      <c r="D1748" s="1" t="str">
        <f>Vlookup(C1748,'Oil &amp; Gas Documents - Canada'!F:M,2,FALSE)</f>
        <v>#N/A</v>
      </c>
      <c r="E1748" s="1" t="str">
        <f>Vlookup(C1748,'Oil &amp; Gas Documents - Canada'!F:N,9,FALSE)</f>
        <v>#N/A</v>
      </c>
      <c r="F1748" s="1" t="s">
        <v>3384</v>
      </c>
      <c r="G1748" s="4" t="str">
        <f>HYPERLINK("http://nimonikapp.com/legislations/1275","http://nimonikapp.com/legislations/1275")</f>
        <v>http://nimonikapp.com/legislations/1275</v>
      </c>
      <c r="H1748" s="1" t="s">
        <v>18</v>
      </c>
      <c r="I1748" s="1" t="s">
        <v>4796</v>
      </c>
      <c r="J1748" s="1" t="s">
        <v>3386</v>
      </c>
      <c r="K1748" s="5">
        <v>44569.0</v>
      </c>
      <c r="L1748" s="5">
        <v>44562.0</v>
      </c>
      <c r="M1748" s="5">
        <v>44565.0</v>
      </c>
      <c r="N1748" s="1" t="s">
        <v>3387</v>
      </c>
    </row>
    <row r="1749" hidden="1">
      <c r="A1749" s="1" t="s">
        <v>70</v>
      </c>
      <c r="B1749" s="1" t="s">
        <v>25</v>
      </c>
      <c r="C1749" s="1" t="s">
        <v>1090</v>
      </c>
      <c r="D1749" s="1" t="str">
        <f>Vlookup(C1749,'Oil &amp; Gas Documents - Canada'!F:M,2,FALSE)</f>
        <v>#N/A</v>
      </c>
      <c r="E1749" s="1" t="str">
        <f>Vlookup(C1749,'Oil &amp; Gas Documents - Canada'!F:N,9,FALSE)</f>
        <v>#N/A</v>
      </c>
      <c r="F1749" s="1" t="s">
        <v>1091</v>
      </c>
      <c r="G1749" s="4" t="str">
        <f>HYPERLINK("http://nimonikapp.com/legislations/116964","http://nimonikapp.com/legislations/116964")</f>
        <v>http://nimonikapp.com/legislations/116964</v>
      </c>
      <c r="H1749" s="1" t="s">
        <v>18</v>
      </c>
      <c r="I1749" s="1" t="s">
        <v>4797</v>
      </c>
      <c r="J1749" s="1" t="s">
        <v>1093</v>
      </c>
      <c r="K1749" s="5">
        <v>44569.0</v>
      </c>
      <c r="L1749" s="5">
        <v>44550.0</v>
      </c>
      <c r="M1749" s="5">
        <v>44565.0</v>
      </c>
      <c r="N1749" s="1" t="s">
        <v>1094</v>
      </c>
    </row>
    <row r="1750" hidden="1">
      <c r="A1750" s="1" t="s">
        <v>70</v>
      </c>
      <c r="B1750" s="1" t="s">
        <v>25</v>
      </c>
      <c r="C1750" s="1" t="s">
        <v>3263</v>
      </c>
      <c r="D1750" s="1" t="str">
        <f>Vlookup(C1750,'Oil &amp; Gas Documents - Canada'!F:M,2,FALSE)</f>
        <v>#N/A</v>
      </c>
      <c r="E1750" s="1" t="str">
        <f>Vlookup(C1750,'Oil &amp; Gas Documents - Canada'!F:N,9,FALSE)</f>
        <v>#N/A</v>
      </c>
      <c r="F1750" s="1" t="s">
        <v>3264</v>
      </c>
      <c r="G1750" s="4" t="str">
        <f>HYPERLINK("http://nimonikapp.com/legislations/4020","http://nimonikapp.com/legislations/4020")</f>
        <v>http://nimonikapp.com/legislations/4020</v>
      </c>
      <c r="H1750" s="1" t="s">
        <v>18</v>
      </c>
      <c r="I1750" s="1" t="s">
        <v>4798</v>
      </c>
      <c r="J1750" s="1" t="s">
        <v>3266</v>
      </c>
      <c r="K1750" s="5">
        <v>44569.0</v>
      </c>
      <c r="L1750" s="5">
        <v>44562.0</v>
      </c>
      <c r="M1750" s="5">
        <v>44565.0</v>
      </c>
      <c r="N1750" s="1" t="s">
        <v>3267</v>
      </c>
    </row>
    <row r="1751" hidden="1">
      <c r="A1751" s="1" t="s">
        <v>70</v>
      </c>
      <c r="B1751" s="1" t="s">
        <v>25</v>
      </c>
      <c r="C1751" s="1" t="s">
        <v>1802</v>
      </c>
      <c r="D1751" s="1" t="str">
        <f>Vlookup(C1751,'Oil &amp; Gas Documents - Canada'!F:M,2,FALSE)</f>
        <v>#N/A</v>
      </c>
      <c r="E1751" s="1" t="str">
        <f>Vlookup(C1751,'Oil &amp; Gas Documents - Canada'!F:N,9,FALSE)</f>
        <v>#N/A</v>
      </c>
      <c r="F1751" s="1" t="s">
        <v>1803</v>
      </c>
      <c r="G1751" s="4" t="str">
        <f>HYPERLINK("http://nimonikapp.com/legislations/111","http://nimonikapp.com/legislations/111")</f>
        <v>http://nimonikapp.com/legislations/111</v>
      </c>
      <c r="H1751" s="1" t="s">
        <v>18</v>
      </c>
      <c r="I1751" s="1" t="s">
        <v>4799</v>
      </c>
      <c r="J1751" s="1" t="s">
        <v>4800</v>
      </c>
      <c r="K1751" s="5">
        <v>44562.0</v>
      </c>
      <c r="M1751" s="5">
        <v>44565.0</v>
      </c>
    </row>
    <row r="1752" hidden="1">
      <c r="A1752" s="1" t="s">
        <v>70</v>
      </c>
      <c r="B1752" s="1" t="s">
        <v>25</v>
      </c>
      <c r="C1752" s="1" t="s">
        <v>3840</v>
      </c>
      <c r="D1752" s="1" t="str">
        <f>Vlookup(C1752,'Oil &amp; Gas Documents - Canada'!F:M,2,FALSE)</f>
        <v>#N/A</v>
      </c>
      <c r="E1752" s="1" t="str">
        <f>Vlookup(C1752,'Oil &amp; Gas Documents - Canada'!F:N,9,FALSE)</f>
        <v>#N/A</v>
      </c>
      <c r="F1752" s="1" t="s">
        <v>3042</v>
      </c>
      <c r="G1752" s="4" t="str">
        <f>HYPERLINK("http://nimonikapp.com/legislations/65","http://nimonikapp.com/legislations/65")</f>
        <v>http://nimonikapp.com/legislations/65</v>
      </c>
      <c r="H1752" s="1" t="s">
        <v>18</v>
      </c>
      <c r="I1752" s="1" t="s">
        <v>4801</v>
      </c>
      <c r="J1752" s="1" t="s">
        <v>4802</v>
      </c>
      <c r="K1752" s="5">
        <v>44562.0</v>
      </c>
      <c r="M1752" s="5">
        <v>44565.0</v>
      </c>
      <c r="N1752" s="1" t="s">
        <v>3843</v>
      </c>
    </row>
    <row r="1753" hidden="1">
      <c r="A1753" s="1" t="s">
        <v>70</v>
      </c>
      <c r="B1753" s="1" t="s">
        <v>25</v>
      </c>
      <c r="C1753" s="1" t="s">
        <v>4803</v>
      </c>
      <c r="D1753" s="1" t="str">
        <f>Vlookup(C1753,'Oil &amp; Gas Documents - Canada'!F:M,2,FALSE)</f>
        <v>#N/A</v>
      </c>
      <c r="E1753" s="1" t="str">
        <f>Vlookup(C1753,'Oil &amp; Gas Documents - Canada'!F:N,9,FALSE)</f>
        <v>#N/A</v>
      </c>
      <c r="F1753" s="1" t="s">
        <v>4804</v>
      </c>
      <c r="G1753" s="4" t="str">
        <f>HYPERLINK("http://nimonikapp.com/legislations/104382","http://nimonikapp.com/legislations/104382")</f>
        <v>http://nimonikapp.com/legislations/104382</v>
      </c>
      <c r="H1753" s="1" t="s">
        <v>18</v>
      </c>
      <c r="I1753" s="1" t="s">
        <v>4805</v>
      </c>
      <c r="J1753" s="1" t="s">
        <v>4806</v>
      </c>
      <c r="K1753" s="5">
        <v>44569.0</v>
      </c>
      <c r="L1753" s="5">
        <v>44562.0</v>
      </c>
      <c r="M1753" s="5">
        <v>44565.0</v>
      </c>
    </row>
    <row r="1754">
      <c r="A1754" s="1" t="s">
        <v>70</v>
      </c>
      <c r="B1754" s="1" t="s">
        <v>25</v>
      </c>
      <c r="C1754" s="1" t="s">
        <v>769</v>
      </c>
      <c r="D1754" s="1" t="str">
        <f>Vlookup(C1754,'Oil &amp; Gas Documents - Canada'!F:M,2,FALSE)</f>
        <v>general, oil_and_gas</v>
      </c>
      <c r="E1754" s="1" t="str">
        <f>Vlookup(C1754,'Oil &amp; Gas Documents - Canada'!F:N,9,FALSE)</f>
        <v/>
      </c>
      <c r="F1754" s="1" t="s">
        <v>768</v>
      </c>
      <c r="G1754" s="4" t="str">
        <f>HYPERLINK("http://nimonikapp.com/legislations/1267","http://nimonikapp.com/legislations/1267")</f>
        <v>http://nimonikapp.com/legislations/1267</v>
      </c>
      <c r="H1754" s="1" t="s">
        <v>18</v>
      </c>
      <c r="I1754" s="1" t="s">
        <v>771</v>
      </c>
      <c r="J1754" s="1" t="s">
        <v>772</v>
      </c>
      <c r="K1754" s="5">
        <v>44569.0</v>
      </c>
      <c r="L1754" s="5">
        <v>44562.0</v>
      </c>
      <c r="M1754" s="5">
        <v>44565.0</v>
      </c>
      <c r="N1754" s="1" t="s">
        <v>770</v>
      </c>
    </row>
    <row r="1755" hidden="1">
      <c r="A1755" s="1" t="s">
        <v>70</v>
      </c>
      <c r="B1755" s="1" t="s">
        <v>25</v>
      </c>
      <c r="C1755" s="1" t="s">
        <v>3361</v>
      </c>
      <c r="D1755" s="1" t="str">
        <f>Vlookup(C1755,'Oil &amp; Gas Documents - Canada'!F:M,2,FALSE)</f>
        <v>#N/A</v>
      </c>
      <c r="E1755" s="1" t="str">
        <f>Vlookup(C1755,'Oil &amp; Gas Documents - Canada'!F:N,9,FALSE)</f>
        <v>#N/A</v>
      </c>
      <c r="F1755" s="1" t="s">
        <v>3362</v>
      </c>
      <c r="G1755" s="4" t="str">
        <f>HYPERLINK("http://nimonikapp.com/legislations/1287","http://nimonikapp.com/legislations/1287")</f>
        <v>http://nimonikapp.com/legislations/1287</v>
      </c>
      <c r="H1755" s="1" t="s">
        <v>18</v>
      </c>
      <c r="I1755" s="1" t="s">
        <v>4807</v>
      </c>
      <c r="J1755" s="1" t="s">
        <v>3364</v>
      </c>
      <c r="K1755" s="5">
        <v>44569.0</v>
      </c>
      <c r="L1755" s="5">
        <v>44562.0</v>
      </c>
      <c r="M1755" s="5">
        <v>44565.0</v>
      </c>
      <c r="N1755" s="1" t="s">
        <v>3365</v>
      </c>
    </row>
    <row r="1756" hidden="1">
      <c r="A1756" s="1" t="s">
        <v>70</v>
      </c>
      <c r="B1756" s="1" t="s">
        <v>25</v>
      </c>
      <c r="C1756" s="1" t="s">
        <v>3374</v>
      </c>
      <c r="D1756" s="1" t="str">
        <f>Vlookup(C1756,'Oil &amp; Gas Documents - Canada'!F:M,2,FALSE)</f>
        <v>#N/A</v>
      </c>
      <c r="E1756" s="1" t="str">
        <f>Vlookup(C1756,'Oil &amp; Gas Documents - Canada'!F:N,9,FALSE)</f>
        <v>#N/A</v>
      </c>
      <c r="F1756" s="1" t="s">
        <v>3375</v>
      </c>
      <c r="G1756" s="4" t="str">
        <f>HYPERLINK("http://nimonikapp.com/legislations/1283","http://nimonikapp.com/legislations/1283")</f>
        <v>http://nimonikapp.com/legislations/1283</v>
      </c>
      <c r="H1756" s="1" t="s">
        <v>18</v>
      </c>
      <c r="I1756" s="1" t="s">
        <v>4808</v>
      </c>
      <c r="J1756" s="1" t="s">
        <v>3377</v>
      </c>
      <c r="K1756" s="5">
        <v>44569.0</v>
      </c>
      <c r="L1756" s="5">
        <v>44562.0</v>
      </c>
      <c r="M1756" s="5">
        <v>44565.0</v>
      </c>
      <c r="N1756" s="1" t="s">
        <v>3378</v>
      </c>
    </row>
    <row r="1757" hidden="1">
      <c r="A1757" s="1" t="s">
        <v>70</v>
      </c>
      <c r="B1757" s="1" t="s">
        <v>25</v>
      </c>
      <c r="C1757" s="1" t="s">
        <v>3316</v>
      </c>
      <c r="D1757" s="1" t="str">
        <f>Vlookup(C1757,'Oil &amp; Gas Documents - Canada'!F:M,2,FALSE)</f>
        <v>#N/A</v>
      </c>
      <c r="E1757" s="1" t="str">
        <f>Vlookup(C1757,'Oil &amp; Gas Documents - Canada'!F:N,9,FALSE)</f>
        <v>#N/A</v>
      </c>
      <c r="F1757" s="1" t="s">
        <v>3317</v>
      </c>
      <c r="G1757" s="4" t="str">
        <f>HYPERLINK("http://nimonikapp.com/legislations/104379","http://nimonikapp.com/legislations/104379")</f>
        <v>http://nimonikapp.com/legislations/104379</v>
      </c>
      <c r="H1757" s="1" t="s">
        <v>18</v>
      </c>
      <c r="I1757" s="1" t="s">
        <v>4809</v>
      </c>
      <c r="J1757" s="1" t="s">
        <v>3319</v>
      </c>
      <c r="K1757" s="5">
        <v>44569.0</v>
      </c>
      <c r="L1757" s="5">
        <v>44562.0</v>
      </c>
      <c r="M1757" s="5">
        <v>44565.0</v>
      </c>
      <c r="N1757" s="1" t="s">
        <v>3320</v>
      </c>
    </row>
    <row r="1758" hidden="1">
      <c r="A1758" s="1" t="s">
        <v>70</v>
      </c>
      <c r="B1758" s="1" t="s">
        <v>25</v>
      </c>
      <c r="C1758" s="1" t="s">
        <v>3398</v>
      </c>
      <c r="D1758" s="1" t="str">
        <f>Vlookup(C1758,'Oil &amp; Gas Documents - Canada'!F:M,2,FALSE)</f>
        <v>#N/A</v>
      </c>
      <c r="E1758" s="1" t="str">
        <f>Vlookup(C1758,'Oil &amp; Gas Documents - Canada'!F:N,9,FALSE)</f>
        <v>#N/A</v>
      </c>
      <c r="F1758" s="1" t="s">
        <v>3399</v>
      </c>
      <c r="G1758" s="4" t="str">
        <f>HYPERLINK("http://nimonikapp.com/legislations/109899","http://nimonikapp.com/legislations/109899")</f>
        <v>http://nimonikapp.com/legislations/109899</v>
      </c>
      <c r="H1758" s="1" t="s">
        <v>18</v>
      </c>
      <c r="I1758" s="1" t="s">
        <v>4810</v>
      </c>
      <c r="J1758" s="1" t="s">
        <v>4811</v>
      </c>
      <c r="K1758" s="5">
        <v>44569.0</v>
      </c>
      <c r="L1758" s="5">
        <v>44562.0</v>
      </c>
      <c r="M1758" s="5">
        <v>44565.0</v>
      </c>
      <c r="N1758" s="1" t="s">
        <v>3402</v>
      </c>
    </row>
    <row r="1759" hidden="1">
      <c r="A1759" s="1" t="s">
        <v>70</v>
      </c>
      <c r="B1759" s="1" t="s">
        <v>25</v>
      </c>
      <c r="C1759" s="1" t="s">
        <v>3502</v>
      </c>
      <c r="D1759" s="1" t="str">
        <f>Vlookup(C1759,'Oil &amp; Gas Documents - Canada'!F:M,2,FALSE)</f>
        <v>#N/A</v>
      </c>
      <c r="E1759" s="1" t="str">
        <f>Vlookup(C1759,'Oil &amp; Gas Documents - Canada'!F:N,9,FALSE)</f>
        <v>#N/A</v>
      </c>
      <c r="F1759" s="1" t="s">
        <v>3503</v>
      </c>
      <c r="G1759" s="4" t="str">
        <f t="shared" ref="G1759:G1760" si="40">HYPERLINK("http://nimonikapp.com/legislations/193102","http://nimonikapp.com/legislations/193102")</f>
        <v>http://nimonikapp.com/legislations/193102</v>
      </c>
      <c r="H1759" s="1" t="s">
        <v>356</v>
      </c>
      <c r="I1759" s="1" t="s">
        <v>4812</v>
      </c>
      <c r="J1759" s="1" t="s">
        <v>3965</v>
      </c>
      <c r="K1759" s="5">
        <v>44576.0</v>
      </c>
      <c r="L1759" s="5">
        <v>44560.0</v>
      </c>
      <c r="M1759" s="5">
        <v>44565.0</v>
      </c>
      <c r="N1759" s="1" t="s">
        <v>3506</v>
      </c>
    </row>
    <row r="1760" hidden="1">
      <c r="A1760" s="1" t="s">
        <v>70</v>
      </c>
      <c r="B1760" s="1" t="s">
        <v>25</v>
      </c>
      <c r="C1760" s="1" t="s">
        <v>3502</v>
      </c>
      <c r="D1760" s="1" t="str">
        <f>Vlookup(C1760,'Oil &amp; Gas Documents - Canada'!F:M,2,FALSE)</f>
        <v>#N/A</v>
      </c>
      <c r="E1760" s="1" t="str">
        <f>Vlookup(C1760,'Oil &amp; Gas Documents - Canada'!F:N,9,FALSE)</f>
        <v>#N/A</v>
      </c>
      <c r="F1760" s="1" t="s">
        <v>3503</v>
      </c>
      <c r="G1760" s="4" t="str">
        <f t="shared" si="40"/>
        <v>http://nimonikapp.com/legislations/193102</v>
      </c>
      <c r="H1760" s="1" t="s">
        <v>356</v>
      </c>
      <c r="I1760" s="1" t="s">
        <v>4813</v>
      </c>
      <c r="J1760" s="1" t="s">
        <v>3965</v>
      </c>
      <c r="K1760" s="5">
        <v>44576.0</v>
      </c>
      <c r="L1760" s="5">
        <v>44561.0</v>
      </c>
      <c r="M1760" s="5">
        <v>44565.0</v>
      </c>
      <c r="N1760" s="1" t="s">
        <v>3506</v>
      </c>
    </row>
    <row r="1761" hidden="1">
      <c r="A1761" s="1" t="s">
        <v>70</v>
      </c>
      <c r="B1761" s="1" t="s">
        <v>25</v>
      </c>
      <c r="C1761" s="1" t="s">
        <v>4814</v>
      </c>
      <c r="D1761" s="1" t="str">
        <f>Vlookup(C1761,'Oil &amp; Gas Documents - Canada'!F:M,2,FALSE)</f>
        <v>#N/A</v>
      </c>
      <c r="E1761" s="1" t="str">
        <f>Vlookup(C1761,'Oil &amp; Gas Documents - Canada'!F:N,9,FALSE)</f>
        <v>#N/A</v>
      </c>
      <c r="F1761" s="1" t="s">
        <v>4815</v>
      </c>
      <c r="G1761" s="4" t="str">
        <f>HYPERLINK("http://nimonikapp.com/legislations/113692","http://nimonikapp.com/legislations/113692")</f>
        <v>http://nimonikapp.com/legislations/113692</v>
      </c>
      <c r="H1761" s="1" t="s">
        <v>18</v>
      </c>
      <c r="I1761" s="1" t="s">
        <v>4816</v>
      </c>
      <c r="J1761" s="1" t="s">
        <v>4817</v>
      </c>
      <c r="K1761" s="5">
        <v>44569.0</v>
      </c>
      <c r="L1761" s="5">
        <v>44562.0</v>
      </c>
      <c r="M1761" s="5">
        <v>44565.0</v>
      </c>
      <c r="N1761" s="1" t="s">
        <v>4818</v>
      </c>
    </row>
    <row r="1762" hidden="1">
      <c r="A1762" s="1" t="s">
        <v>70</v>
      </c>
      <c r="B1762" s="1" t="s">
        <v>25</v>
      </c>
      <c r="C1762" s="1" t="s">
        <v>4819</v>
      </c>
      <c r="D1762" s="1" t="str">
        <f>Vlookup(C1762,'Oil &amp; Gas Documents - Canada'!F:M,2,FALSE)</f>
        <v>#N/A</v>
      </c>
      <c r="E1762" s="1" t="str">
        <f>Vlookup(C1762,'Oil &amp; Gas Documents - Canada'!F:N,9,FALSE)</f>
        <v>#N/A</v>
      </c>
      <c r="F1762" s="1" t="s">
        <v>4820</v>
      </c>
      <c r="G1762" s="4" t="str">
        <f>HYPERLINK("http://nimonikapp.com/legislations/1610","http://nimonikapp.com/legislations/1610")</f>
        <v>http://nimonikapp.com/legislations/1610</v>
      </c>
      <c r="H1762" s="1" t="s">
        <v>18</v>
      </c>
      <c r="I1762" s="1" t="s">
        <v>4821</v>
      </c>
      <c r="J1762" s="1" t="s">
        <v>4822</v>
      </c>
      <c r="K1762" s="5">
        <v>44569.0</v>
      </c>
      <c r="L1762" s="5">
        <v>44562.0</v>
      </c>
      <c r="M1762" s="5">
        <v>44565.0</v>
      </c>
      <c r="N1762" s="1" t="s">
        <v>4823</v>
      </c>
    </row>
    <row r="1763" hidden="1">
      <c r="A1763" s="1" t="s">
        <v>70</v>
      </c>
      <c r="B1763" s="1" t="s">
        <v>25</v>
      </c>
      <c r="C1763" s="1" t="s">
        <v>4824</v>
      </c>
      <c r="D1763" s="1" t="str">
        <f>Vlookup(C1763,'Oil &amp; Gas Documents - Canada'!F:M,2,FALSE)</f>
        <v>#N/A</v>
      </c>
      <c r="E1763" s="1" t="str">
        <f>Vlookup(C1763,'Oil &amp; Gas Documents - Canada'!F:N,9,FALSE)</f>
        <v>#N/A</v>
      </c>
      <c r="F1763" s="1" t="s">
        <v>4825</v>
      </c>
      <c r="G1763" s="4" t="str">
        <f>HYPERLINK("http://nimonikapp.com/legislations/1004","http://nimonikapp.com/legislations/1004")</f>
        <v>http://nimonikapp.com/legislations/1004</v>
      </c>
      <c r="H1763" s="1" t="s">
        <v>18</v>
      </c>
      <c r="I1763" s="1" t="s">
        <v>4826</v>
      </c>
      <c r="J1763" s="1" t="s">
        <v>4827</v>
      </c>
      <c r="K1763" s="5">
        <v>44569.0</v>
      </c>
      <c r="L1763" s="5">
        <v>44562.0</v>
      </c>
      <c r="M1763" s="5">
        <v>44565.0</v>
      </c>
      <c r="N1763" s="1" t="s">
        <v>4828</v>
      </c>
    </row>
    <row r="1764" hidden="1">
      <c r="A1764" s="1" t="s">
        <v>70</v>
      </c>
      <c r="B1764" s="1" t="s">
        <v>25</v>
      </c>
      <c r="C1764" s="1" t="s">
        <v>4027</v>
      </c>
      <c r="D1764" s="1" t="str">
        <f>Vlookup(C1764,'Oil &amp; Gas Documents - Canada'!F:M,2,FALSE)</f>
        <v>#N/A</v>
      </c>
      <c r="E1764" s="1" t="str">
        <f>Vlookup(C1764,'Oil &amp; Gas Documents - Canada'!F:N,9,FALSE)</f>
        <v>#N/A</v>
      </c>
      <c r="F1764" s="1" t="s">
        <v>4028</v>
      </c>
      <c r="G1764" s="4" t="str">
        <f>HYPERLINK("http://nimonikapp.com/legislations/161255","http://nimonikapp.com/legislations/161255")</f>
        <v>http://nimonikapp.com/legislations/161255</v>
      </c>
      <c r="H1764" s="1" t="s">
        <v>356</v>
      </c>
      <c r="I1764" s="1" t="s">
        <v>4829</v>
      </c>
      <c r="J1764" s="1" t="s">
        <v>4830</v>
      </c>
      <c r="K1764" s="5">
        <v>44583.0</v>
      </c>
      <c r="L1764" s="5">
        <v>44564.0</v>
      </c>
      <c r="M1764" s="5">
        <v>44565.0</v>
      </c>
      <c r="N1764" s="1" t="s">
        <v>4030</v>
      </c>
    </row>
    <row r="1765" hidden="1">
      <c r="A1765" s="1" t="s">
        <v>70</v>
      </c>
      <c r="B1765" s="1" t="s">
        <v>25</v>
      </c>
      <c r="C1765" s="1" t="s">
        <v>3507</v>
      </c>
      <c r="D1765" s="1" t="str">
        <f>Vlookup(C1765,'Oil &amp; Gas Documents - Canada'!F:M,2,FALSE)</f>
        <v>#N/A</v>
      </c>
      <c r="E1765" s="1" t="str">
        <f>Vlookup(C1765,'Oil &amp; Gas Documents - Canada'!F:N,9,FALSE)</f>
        <v>#N/A</v>
      </c>
      <c r="F1765" s="1" t="s">
        <v>3508</v>
      </c>
      <c r="G1765" s="4" t="str">
        <f>HYPERLINK("http://nimonikapp.com/legislations/193101","http://nimonikapp.com/legislations/193101")</f>
        <v>http://nimonikapp.com/legislations/193101</v>
      </c>
      <c r="H1765" s="1" t="s">
        <v>356</v>
      </c>
      <c r="I1765" s="1" t="s">
        <v>4831</v>
      </c>
      <c r="J1765" s="1" t="s">
        <v>4144</v>
      </c>
      <c r="K1765" s="5">
        <v>44583.0</v>
      </c>
      <c r="L1765" s="5">
        <v>44566.0</v>
      </c>
      <c r="M1765" s="5">
        <v>44565.0</v>
      </c>
      <c r="N1765" s="1" t="s">
        <v>3506</v>
      </c>
    </row>
    <row r="1766" hidden="1">
      <c r="A1766" s="1" t="s">
        <v>14</v>
      </c>
      <c r="B1766" s="1" t="s">
        <v>25</v>
      </c>
      <c r="C1766" s="1" t="s">
        <v>2735</v>
      </c>
      <c r="D1766" s="1" t="str">
        <f>Vlookup(C1766,'Oil &amp; Gas Documents - Canada'!F:M,2,FALSE)</f>
        <v>#N/A</v>
      </c>
      <c r="E1766" s="1" t="str">
        <f>Vlookup(C1766,'Oil &amp; Gas Documents - Canada'!F:N,9,FALSE)</f>
        <v>#N/A</v>
      </c>
      <c r="F1766" s="1" t="s">
        <v>2736</v>
      </c>
      <c r="G1766" s="4" t="str">
        <f>HYPERLINK("http://nimonikapp.com/legislations/633","http://nimonikapp.com/legislations/633")</f>
        <v>http://nimonikapp.com/legislations/633</v>
      </c>
      <c r="H1766" s="1" t="s">
        <v>18</v>
      </c>
      <c r="I1766" s="1" t="s">
        <v>4832</v>
      </c>
      <c r="J1766" s="1" t="s">
        <v>4833</v>
      </c>
      <c r="K1766" s="5">
        <v>44524.0</v>
      </c>
      <c r="M1766" s="5">
        <v>44564.0</v>
      </c>
      <c r="N1766" s="1" t="s">
        <v>2739</v>
      </c>
    </row>
    <row r="1767" hidden="1">
      <c r="A1767" s="1" t="s">
        <v>14</v>
      </c>
      <c r="B1767" s="1" t="s">
        <v>25</v>
      </c>
      <c r="C1767" s="1" t="s">
        <v>4834</v>
      </c>
      <c r="D1767" s="1" t="str">
        <f>Vlookup(C1767,'Oil &amp; Gas Documents - Canada'!F:M,2,FALSE)</f>
        <v>#N/A</v>
      </c>
      <c r="E1767" s="1" t="str">
        <f>Vlookup(C1767,'Oil &amp; Gas Documents - Canada'!F:N,9,FALSE)</f>
        <v>#N/A</v>
      </c>
      <c r="F1767" s="1" t="s">
        <v>4835</v>
      </c>
      <c r="G1767" s="4" t="str">
        <f>HYPERLINK("http://nimonikapp.com/legislations/4160","http://nimonikapp.com/legislations/4160")</f>
        <v>http://nimonikapp.com/legislations/4160</v>
      </c>
      <c r="H1767" s="1" t="s">
        <v>18</v>
      </c>
      <c r="I1767" s="1" t="s">
        <v>4836</v>
      </c>
      <c r="J1767" s="1" t="s">
        <v>4837</v>
      </c>
      <c r="K1767" s="5">
        <v>44530.0</v>
      </c>
      <c r="L1767" s="5">
        <v>44562.0</v>
      </c>
      <c r="M1767" s="5">
        <v>44564.0</v>
      </c>
      <c r="N1767" s="1" t="s">
        <v>4838</v>
      </c>
    </row>
    <row r="1768" hidden="1">
      <c r="A1768" s="1" t="s">
        <v>14</v>
      </c>
      <c r="B1768" s="1" t="s">
        <v>25</v>
      </c>
      <c r="C1768" s="1" t="s">
        <v>1483</v>
      </c>
      <c r="D1768" s="1" t="str">
        <f>Vlookup(C1768,'Oil &amp; Gas Documents - Canada'!F:M,2,FALSE)</f>
        <v>#N/A</v>
      </c>
      <c r="E1768" s="1" t="str">
        <f>Vlookup(C1768,'Oil &amp; Gas Documents - Canada'!F:N,9,FALSE)</f>
        <v>#N/A</v>
      </c>
      <c r="F1768" s="1" t="s">
        <v>1484</v>
      </c>
      <c r="G1768" s="4" t="str">
        <f>HYPERLINK("http://nimonikapp.com/legislations/627","http://nimonikapp.com/legislations/627")</f>
        <v>http://nimonikapp.com/legislations/627</v>
      </c>
      <c r="H1768" s="1" t="s">
        <v>18</v>
      </c>
      <c r="I1768" s="1" t="s">
        <v>4839</v>
      </c>
      <c r="J1768" s="1" t="s">
        <v>4840</v>
      </c>
      <c r="K1768" s="5">
        <v>44554.0</v>
      </c>
      <c r="M1768" s="5">
        <v>44564.0</v>
      </c>
      <c r="N1768" s="1" t="s">
        <v>1487</v>
      </c>
    </row>
    <row r="1769" hidden="1">
      <c r="A1769" s="1" t="s">
        <v>14</v>
      </c>
      <c r="B1769" s="1" t="s">
        <v>25</v>
      </c>
      <c r="C1769" s="1" t="s">
        <v>1488</v>
      </c>
      <c r="D1769" s="1" t="str">
        <f>Vlookup(C1769,'Oil &amp; Gas Documents - Canada'!F:M,2,FALSE)</f>
        <v>#N/A</v>
      </c>
      <c r="E1769" s="1" t="str">
        <f>Vlookup(C1769,'Oil &amp; Gas Documents - Canada'!F:N,9,FALSE)</f>
        <v>#N/A</v>
      </c>
      <c r="F1769" s="1" t="s">
        <v>1489</v>
      </c>
      <c r="G1769" s="4" t="str">
        <f>HYPERLINK("http://nimonikapp.com/legislations/625","http://nimonikapp.com/legislations/625")</f>
        <v>http://nimonikapp.com/legislations/625</v>
      </c>
      <c r="H1769" s="1" t="s">
        <v>18</v>
      </c>
      <c r="I1769" s="1" t="s">
        <v>4839</v>
      </c>
      <c r="J1769" s="1" t="s">
        <v>4840</v>
      </c>
      <c r="K1769" s="5">
        <v>44554.0</v>
      </c>
      <c r="M1769" s="5">
        <v>44564.0</v>
      </c>
      <c r="N1769" s="1" t="s">
        <v>1487</v>
      </c>
    </row>
    <row r="1770" hidden="1">
      <c r="A1770" s="1" t="s">
        <v>14</v>
      </c>
      <c r="B1770" s="1" t="s">
        <v>25</v>
      </c>
      <c r="C1770" s="1" t="s">
        <v>4834</v>
      </c>
      <c r="D1770" s="1" t="str">
        <f>Vlookup(C1770,'Oil &amp; Gas Documents - Canada'!F:M,2,FALSE)</f>
        <v>#N/A</v>
      </c>
      <c r="E1770" s="1" t="str">
        <f>Vlookup(C1770,'Oil &amp; Gas Documents - Canada'!F:N,9,FALSE)</f>
        <v>#N/A</v>
      </c>
      <c r="F1770" s="1" t="s">
        <v>4835</v>
      </c>
      <c r="G1770" s="4" t="str">
        <f>HYPERLINK("http://nimonikapp.com/legislations/4160","http://nimonikapp.com/legislations/4160")</f>
        <v>http://nimonikapp.com/legislations/4160</v>
      </c>
      <c r="H1770" s="1" t="s">
        <v>18</v>
      </c>
      <c r="I1770" s="1" t="s">
        <v>4841</v>
      </c>
      <c r="J1770" s="1" t="s">
        <v>4842</v>
      </c>
      <c r="K1770" s="5">
        <v>44554.0</v>
      </c>
      <c r="M1770" s="5">
        <v>44564.0</v>
      </c>
      <c r="N1770" s="1" t="s">
        <v>4838</v>
      </c>
    </row>
    <row r="1771" hidden="1">
      <c r="A1771" s="1" t="s">
        <v>14</v>
      </c>
      <c r="B1771" s="1" t="s">
        <v>25</v>
      </c>
      <c r="C1771" s="1" t="s">
        <v>4843</v>
      </c>
      <c r="D1771" s="1" t="str">
        <f>Vlookup(C1771,'Oil &amp; Gas Documents - Canada'!F:M,2,FALSE)</f>
        <v>#N/A</v>
      </c>
      <c r="E1771" s="1" t="str">
        <f>Vlookup(C1771,'Oil &amp; Gas Documents - Canada'!F:N,9,FALSE)</f>
        <v>#N/A</v>
      </c>
      <c r="F1771" s="1" t="s">
        <v>4844</v>
      </c>
      <c r="G1771" s="4" t="str">
        <f>HYPERLINK("http://nimonikapp.com/legislations/3657","http://nimonikapp.com/legislations/3657")</f>
        <v>http://nimonikapp.com/legislations/3657</v>
      </c>
      <c r="H1771" s="1" t="s">
        <v>18</v>
      </c>
      <c r="I1771" s="1" t="s">
        <v>4845</v>
      </c>
      <c r="J1771" s="1" t="s">
        <v>4846</v>
      </c>
      <c r="K1771" s="5">
        <v>44554.0</v>
      </c>
      <c r="L1771" s="5">
        <v>44562.0</v>
      </c>
      <c r="M1771" s="5">
        <v>44564.0</v>
      </c>
    </row>
    <row r="1772" hidden="1">
      <c r="A1772" s="1" t="s">
        <v>14</v>
      </c>
      <c r="B1772" s="1" t="s">
        <v>25</v>
      </c>
      <c r="C1772" s="1" t="s">
        <v>4203</v>
      </c>
      <c r="D1772" s="1" t="str">
        <f>Vlookup(C1772,'Oil &amp; Gas Documents - Canada'!F:M,2,FALSE)</f>
        <v>#N/A</v>
      </c>
      <c r="E1772" s="1" t="str">
        <f>Vlookup(C1772,'Oil &amp; Gas Documents - Canada'!F:N,9,FALSE)</f>
        <v>#N/A</v>
      </c>
      <c r="F1772" s="1" t="s">
        <v>4204</v>
      </c>
      <c r="G1772" s="4" t="str">
        <f>HYPERLINK("http://nimonikapp.com/legislations/3655","http://nimonikapp.com/legislations/3655")</f>
        <v>http://nimonikapp.com/legislations/3655</v>
      </c>
      <c r="H1772" s="1" t="s">
        <v>18</v>
      </c>
      <c r="I1772" s="1" t="s">
        <v>4847</v>
      </c>
      <c r="J1772" s="1" t="s">
        <v>4848</v>
      </c>
      <c r="K1772" s="5">
        <v>44554.0</v>
      </c>
      <c r="L1772" s="5">
        <v>44562.0</v>
      </c>
      <c r="M1772" s="5">
        <v>44564.0</v>
      </c>
      <c r="N1772" s="1" t="s">
        <v>4207</v>
      </c>
    </row>
    <row r="1773">
      <c r="A1773" s="1" t="s">
        <v>14</v>
      </c>
      <c r="B1773" s="1" t="s">
        <v>25</v>
      </c>
      <c r="C1773" s="1" t="s">
        <v>774</v>
      </c>
      <c r="D1773" s="1" t="s">
        <v>26</v>
      </c>
      <c r="E1773" s="1" t="str">
        <f>Vlookup(C1773,'Oil &amp; Gas Documents - Canada'!F:N,9,FALSE)</f>
        <v>#N/A</v>
      </c>
      <c r="F1773" s="1" t="s">
        <v>773</v>
      </c>
      <c r="G1773" s="4" t="str">
        <f>HYPERLINK("http://nimonikapp.com/legislations/113801","http://nimonikapp.com/legislations/113801")</f>
        <v>http://nimonikapp.com/legislations/113801</v>
      </c>
      <c r="H1773" s="1" t="s">
        <v>18</v>
      </c>
      <c r="I1773" s="1" t="s">
        <v>776</v>
      </c>
      <c r="J1773" s="1" t="s">
        <v>777</v>
      </c>
      <c r="K1773" s="5">
        <v>44554.0</v>
      </c>
      <c r="L1773" s="5">
        <v>44543.0</v>
      </c>
      <c r="M1773" s="5">
        <v>44564.0</v>
      </c>
      <c r="N1773" s="1" t="s">
        <v>775</v>
      </c>
    </row>
    <row r="1774">
      <c r="A1774" s="1" t="s">
        <v>53</v>
      </c>
      <c r="B1774" s="1" t="s">
        <v>25</v>
      </c>
      <c r="C1774" s="1" t="s">
        <v>779</v>
      </c>
      <c r="D1774" s="1" t="str">
        <f>Vlookup(C1774,'Oil &amp; Gas Documents - Canada'!F:M,2,FALSE)</f>
        <v>oil_and_gas</v>
      </c>
      <c r="E1774" s="1" t="str">
        <f>Vlookup(C1774,'Oil &amp; Gas Documents - Canada'!F:N,9,FALSE)</f>
        <v/>
      </c>
      <c r="F1774" s="1" t="s">
        <v>778</v>
      </c>
      <c r="G1774" s="4" t="str">
        <f>HYPERLINK("http://nimonikapp.com/legislations/314877","http://nimonikapp.com/legislations/314877")</f>
        <v>http://nimonikapp.com/legislations/314877</v>
      </c>
      <c r="H1774" s="1" t="s">
        <v>18</v>
      </c>
      <c r="I1774" s="1" t="s">
        <v>781</v>
      </c>
      <c r="J1774" s="1" t="s">
        <v>782</v>
      </c>
      <c r="K1774" s="5">
        <v>44561.0</v>
      </c>
      <c r="L1774" s="5">
        <v>44547.0</v>
      </c>
      <c r="M1774" s="5">
        <v>44564.0</v>
      </c>
      <c r="N1774" s="1" t="s">
        <v>780</v>
      </c>
    </row>
    <row r="1775" hidden="1">
      <c r="A1775" s="1" t="s">
        <v>21</v>
      </c>
      <c r="B1775" s="1" t="s">
        <v>25</v>
      </c>
      <c r="C1775" s="1" t="s">
        <v>2275</v>
      </c>
      <c r="D1775" s="1" t="str">
        <f>Vlookup(C1775,'Oil &amp; Gas Documents - Canada'!F:M,2,FALSE)</f>
        <v>#N/A</v>
      </c>
      <c r="E1775" s="1" t="str">
        <f>Vlookup(C1775,'Oil &amp; Gas Documents - Canada'!F:N,9,FALSE)</f>
        <v>#N/A</v>
      </c>
      <c r="F1775" s="1" t="s">
        <v>2276</v>
      </c>
      <c r="G1775" s="4" t="str">
        <f>HYPERLINK("http://nimonikapp.com/legislations/4037","http://nimonikapp.com/legislations/4037")</f>
        <v>http://nimonikapp.com/legislations/4037</v>
      </c>
      <c r="H1775" s="1" t="s">
        <v>18</v>
      </c>
      <c r="I1775" s="1" t="s">
        <v>3978</v>
      </c>
      <c r="J1775" s="1" t="s">
        <v>3979</v>
      </c>
      <c r="K1775" s="5">
        <v>44538.0</v>
      </c>
      <c r="L1775" s="5">
        <v>44615.0</v>
      </c>
      <c r="M1775" s="5">
        <v>44551.0</v>
      </c>
      <c r="N1775" s="1" t="s">
        <v>2277</v>
      </c>
    </row>
    <row r="1776" hidden="1">
      <c r="A1776" s="1" t="s">
        <v>70</v>
      </c>
      <c r="B1776" s="1" t="s">
        <v>25</v>
      </c>
      <c r="C1776" s="1" t="s">
        <v>3393</v>
      </c>
      <c r="D1776" s="1" t="str">
        <f>Vlookup(C1776,'Oil &amp; Gas Documents - Canada'!F:M,2,FALSE)</f>
        <v>#N/A</v>
      </c>
      <c r="E1776" s="1" t="str">
        <f>Vlookup(C1776,'Oil &amp; Gas Documents - Canada'!F:N,9,FALSE)</f>
        <v>#N/A</v>
      </c>
      <c r="F1776" s="1" t="s">
        <v>3394</v>
      </c>
      <c r="G1776" s="4" t="str">
        <f>HYPERLINK("http://nimonikapp.com/legislations/1180","http://nimonikapp.com/legislations/1180")</f>
        <v>http://nimonikapp.com/legislations/1180</v>
      </c>
      <c r="H1776" s="1" t="s">
        <v>18</v>
      </c>
      <c r="I1776" s="1" t="s">
        <v>4849</v>
      </c>
      <c r="J1776" s="1" t="s">
        <v>3396</v>
      </c>
      <c r="K1776" s="5">
        <v>44562.0</v>
      </c>
      <c r="L1776" s="5">
        <v>44543.0</v>
      </c>
      <c r="M1776" s="5">
        <v>44550.0</v>
      </c>
      <c r="N1776" s="1" t="s">
        <v>3397</v>
      </c>
    </row>
    <row r="1777" hidden="1">
      <c r="A1777" s="1" t="s">
        <v>70</v>
      </c>
      <c r="B1777" s="1" t="s">
        <v>25</v>
      </c>
      <c r="C1777" s="1" t="s">
        <v>4850</v>
      </c>
      <c r="D1777" s="1" t="str">
        <f>Vlookup(C1777,'Oil &amp; Gas Documents - Canada'!F:M,2,FALSE)</f>
        <v>#N/A</v>
      </c>
      <c r="E1777" s="1" t="str">
        <f>Vlookup(C1777,'Oil &amp; Gas Documents - Canada'!F:N,9,FALSE)</f>
        <v>#N/A</v>
      </c>
      <c r="F1777" s="1" t="s">
        <v>4851</v>
      </c>
      <c r="G1777" s="4" t="str">
        <f>HYPERLINK("http://nimonikapp.com/legislations/1177","http://nimonikapp.com/legislations/1177")</f>
        <v>http://nimonikapp.com/legislations/1177</v>
      </c>
      <c r="H1777" s="1" t="s">
        <v>18</v>
      </c>
      <c r="I1777" s="1" t="s">
        <v>4852</v>
      </c>
      <c r="J1777" s="1" t="s">
        <v>4853</v>
      </c>
      <c r="K1777" s="5">
        <v>44562.0</v>
      </c>
      <c r="L1777" s="5">
        <v>44562.0</v>
      </c>
      <c r="M1777" s="5">
        <v>44550.0</v>
      </c>
      <c r="N1777" s="1" t="s">
        <v>4854</v>
      </c>
    </row>
    <row r="1778" hidden="1">
      <c r="A1778" s="1" t="s">
        <v>70</v>
      </c>
      <c r="B1778" s="1" t="s">
        <v>352</v>
      </c>
      <c r="C1778" s="1" t="s">
        <v>4855</v>
      </c>
      <c r="D1778" s="1" t="str">
        <f>Vlookup(C1778,'Oil &amp; Gas Documents - Canada'!F:M,2,FALSE)</f>
        <v>#N/A</v>
      </c>
      <c r="E1778" s="1" t="str">
        <f>Vlookup(C1778,'Oil &amp; Gas Documents - Canada'!F:N,9,FALSE)</f>
        <v>#N/A</v>
      </c>
      <c r="F1778" s="1" t="s">
        <v>4856</v>
      </c>
      <c r="G1778" s="4" t="str">
        <f>HYPERLINK("http://nimonikapp.com/legislations/94902","http://nimonikapp.com/legislations/94902")</f>
        <v>http://nimonikapp.com/legislations/94902</v>
      </c>
      <c r="H1778" s="1" t="s">
        <v>356</v>
      </c>
      <c r="I1778" s="1" t="s">
        <v>4857</v>
      </c>
      <c r="J1778" s="1" t="s">
        <v>4858</v>
      </c>
      <c r="K1778" s="5">
        <v>44562.0</v>
      </c>
      <c r="L1778" s="5">
        <v>44544.0</v>
      </c>
      <c r="M1778" s="5">
        <v>44550.0</v>
      </c>
      <c r="N1778" s="1" t="s">
        <v>4859</v>
      </c>
    </row>
    <row r="1779" hidden="1">
      <c r="A1779" s="1" t="s">
        <v>70</v>
      </c>
      <c r="B1779" s="1" t="s">
        <v>25</v>
      </c>
      <c r="C1779" s="1" t="s">
        <v>3343</v>
      </c>
      <c r="D1779" s="1" t="str">
        <f>Vlookup(C1779,'Oil &amp; Gas Documents - Canada'!F:M,2,FALSE)</f>
        <v>#N/A</v>
      </c>
      <c r="E1779" s="1" t="str">
        <f>Vlookup(C1779,'Oil &amp; Gas Documents - Canada'!F:N,9,FALSE)</f>
        <v>#N/A</v>
      </c>
      <c r="F1779" s="1" t="s">
        <v>3344</v>
      </c>
      <c r="G1779" s="4" t="str">
        <f>HYPERLINK("http://nimonikapp.com/legislations/113714","http://nimonikapp.com/legislations/113714")</f>
        <v>http://nimonikapp.com/legislations/113714</v>
      </c>
      <c r="H1779" s="1" t="s">
        <v>18</v>
      </c>
      <c r="I1779" s="1" t="s">
        <v>4860</v>
      </c>
      <c r="J1779" s="1" t="s">
        <v>3346</v>
      </c>
      <c r="K1779" s="5">
        <v>44562.0</v>
      </c>
      <c r="L1779" s="5">
        <v>44562.0</v>
      </c>
      <c r="M1779" s="5">
        <v>44550.0</v>
      </c>
    </row>
    <row r="1780" hidden="1">
      <c r="A1780" s="1" t="s">
        <v>70</v>
      </c>
      <c r="B1780" s="1" t="s">
        <v>25</v>
      </c>
      <c r="C1780" s="1" t="s">
        <v>3502</v>
      </c>
      <c r="D1780" s="1" t="str">
        <f>Vlookup(C1780,'Oil &amp; Gas Documents - Canada'!F:M,2,FALSE)</f>
        <v>#N/A</v>
      </c>
      <c r="E1780" s="1" t="str">
        <f>Vlookup(C1780,'Oil &amp; Gas Documents - Canada'!F:N,9,FALSE)</f>
        <v>#N/A</v>
      </c>
      <c r="F1780" s="1" t="s">
        <v>3503</v>
      </c>
      <c r="G1780" s="4" t="str">
        <f t="shared" ref="G1780:G1781" si="41">HYPERLINK("http://nimonikapp.com/legislations/193102","http://nimonikapp.com/legislations/193102")</f>
        <v>http://nimonikapp.com/legislations/193102</v>
      </c>
      <c r="H1780" s="1" t="s">
        <v>356</v>
      </c>
      <c r="I1780" s="1" t="s">
        <v>4861</v>
      </c>
      <c r="J1780" s="1" t="s">
        <v>3965</v>
      </c>
      <c r="K1780" s="5">
        <v>44562.0</v>
      </c>
      <c r="L1780" s="5">
        <v>44549.0</v>
      </c>
      <c r="M1780" s="5">
        <v>44550.0</v>
      </c>
      <c r="N1780" s="1" t="s">
        <v>3506</v>
      </c>
    </row>
    <row r="1781" hidden="1">
      <c r="A1781" s="1" t="s">
        <v>70</v>
      </c>
      <c r="B1781" s="1" t="s">
        <v>25</v>
      </c>
      <c r="C1781" s="1" t="s">
        <v>3502</v>
      </c>
      <c r="D1781" s="1" t="str">
        <f>Vlookup(C1781,'Oil &amp; Gas Documents - Canada'!F:M,2,FALSE)</f>
        <v>#N/A</v>
      </c>
      <c r="E1781" s="1" t="str">
        <f>Vlookup(C1781,'Oil &amp; Gas Documents - Canada'!F:N,9,FALSE)</f>
        <v>#N/A</v>
      </c>
      <c r="F1781" s="1" t="s">
        <v>3503</v>
      </c>
      <c r="G1781" s="4" t="str">
        <f t="shared" si="41"/>
        <v>http://nimonikapp.com/legislations/193102</v>
      </c>
      <c r="H1781" s="1" t="s">
        <v>356</v>
      </c>
      <c r="I1781" s="1" t="s">
        <v>4862</v>
      </c>
      <c r="J1781" s="1" t="s">
        <v>3965</v>
      </c>
      <c r="K1781" s="5">
        <v>44562.0</v>
      </c>
      <c r="L1781" s="5">
        <v>44548.0</v>
      </c>
      <c r="M1781" s="5">
        <v>44550.0</v>
      </c>
      <c r="N1781" s="1" t="s">
        <v>3506</v>
      </c>
    </row>
    <row r="1782" hidden="1">
      <c r="A1782" s="1" t="s">
        <v>21</v>
      </c>
      <c r="B1782" s="1" t="s">
        <v>25</v>
      </c>
      <c r="C1782" s="1" t="s">
        <v>2990</v>
      </c>
      <c r="D1782" s="1" t="str">
        <f>Vlookup(C1782,'Oil &amp; Gas Documents - Canada'!F:M,2,FALSE)</f>
        <v>#N/A</v>
      </c>
      <c r="E1782" s="1" t="str">
        <f>Vlookup(C1782,'Oil &amp; Gas Documents - Canada'!F:N,9,FALSE)</f>
        <v>#N/A</v>
      </c>
      <c r="F1782" s="1" t="s">
        <v>2991</v>
      </c>
      <c r="G1782" s="4" t="str">
        <f>HYPERLINK("http://nimonikapp.com/legislations/16155","http://nimonikapp.com/legislations/16155")</f>
        <v>http://nimonikapp.com/legislations/16155</v>
      </c>
      <c r="H1782" s="1" t="s">
        <v>18</v>
      </c>
      <c r="I1782" s="1" t="s">
        <v>4863</v>
      </c>
      <c r="J1782" s="1" t="s">
        <v>4864</v>
      </c>
      <c r="K1782" s="5">
        <v>44545.0</v>
      </c>
      <c r="L1782" s="5">
        <v>44713.0</v>
      </c>
      <c r="M1782" s="5">
        <v>44550.0</v>
      </c>
    </row>
    <row r="1783" hidden="1">
      <c r="A1783" s="1" t="s">
        <v>21</v>
      </c>
      <c r="B1783" s="1" t="s">
        <v>25</v>
      </c>
      <c r="C1783" s="1" t="s">
        <v>1311</v>
      </c>
      <c r="D1783" s="1" t="str">
        <f>Vlookup(C1783,'Oil &amp; Gas Documents - Canada'!F:M,2,FALSE)</f>
        <v>#N/A</v>
      </c>
      <c r="E1783" s="1" t="str">
        <f>Vlookup(C1783,'Oil &amp; Gas Documents - Canada'!F:N,9,FALSE)</f>
        <v>#N/A</v>
      </c>
      <c r="F1783" s="1" t="s">
        <v>1312</v>
      </c>
      <c r="G1783" s="4" t="str">
        <f>HYPERLINK("http://nimonikapp.com/legislations/6393","http://nimonikapp.com/legislations/6393")</f>
        <v>http://nimonikapp.com/legislations/6393</v>
      </c>
      <c r="H1783" s="1" t="s">
        <v>18</v>
      </c>
      <c r="I1783" s="1" t="s">
        <v>4865</v>
      </c>
      <c r="J1783" s="1" t="s">
        <v>2329</v>
      </c>
      <c r="K1783" s="5">
        <v>44545.0</v>
      </c>
      <c r="L1783" s="5">
        <v>44713.0</v>
      </c>
      <c r="M1783" s="5">
        <v>44550.0</v>
      </c>
      <c r="N1783" s="1" t="s">
        <v>1313</v>
      </c>
    </row>
    <row r="1784" hidden="1">
      <c r="A1784" s="1" t="s">
        <v>21</v>
      </c>
      <c r="B1784" s="1" t="s">
        <v>25</v>
      </c>
      <c r="C1784" s="1" t="s">
        <v>2988</v>
      </c>
      <c r="D1784" s="1" t="str">
        <f>Vlookup(C1784,'Oil &amp; Gas Documents - Canada'!F:M,2,FALSE)</f>
        <v>#N/A</v>
      </c>
      <c r="E1784" s="1" t="str">
        <f>Vlookup(C1784,'Oil &amp; Gas Documents - Canada'!F:N,9,FALSE)</f>
        <v>#N/A</v>
      </c>
      <c r="F1784" s="1" t="s">
        <v>2989</v>
      </c>
      <c r="G1784" s="4" t="str">
        <f>HYPERLINK("http://nimonikapp.com/legislations/118357","http://nimonikapp.com/legislations/118357")</f>
        <v>http://nimonikapp.com/legislations/118357</v>
      </c>
      <c r="H1784" s="1" t="s">
        <v>18</v>
      </c>
      <c r="I1784" s="1" t="s">
        <v>4866</v>
      </c>
      <c r="J1784" s="1" t="s">
        <v>4867</v>
      </c>
      <c r="K1784" s="5">
        <v>44545.0</v>
      </c>
      <c r="L1784" s="5">
        <v>44713.0</v>
      </c>
      <c r="M1784" s="5">
        <v>44550.0</v>
      </c>
    </row>
    <row r="1785" hidden="1">
      <c r="A1785" s="1" t="s">
        <v>202</v>
      </c>
      <c r="B1785" s="1" t="s">
        <v>25</v>
      </c>
      <c r="C1785" s="1" t="s">
        <v>3103</v>
      </c>
      <c r="D1785" s="1" t="str">
        <f>Vlookup(C1785,'Oil &amp; Gas Documents - Canada'!F:M,2,FALSE)</f>
        <v>#N/A</v>
      </c>
      <c r="E1785" s="1" t="str">
        <f>Vlookup(C1785,'Oil &amp; Gas Documents - Canada'!F:N,9,FALSE)</f>
        <v>#N/A</v>
      </c>
      <c r="F1785" s="1" t="s">
        <v>3104</v>
      </c>
      <c r="G1785" s="4" t="str">
        <f>HYPERLINK("http://nimonikapp.com/legislations/979","http://nimonikapp.com/legislations/979")</f>
        <v>http://nimonikapp.com/legislations/979</v>
      </c>
      <c r="H1785" s="1" t="s">
        <v>18</v>
      </c>
      <c r="I1785" s="1" t="s">
        <v>4868</v>
      </c>
      <c r="J1785" s="1" t="s">
        <v>3106</v>
      </c>
      <c r="K1785" s="5">
        <v>44524.0</v>
      </c>
      <c r="L1785" s="5">
        <v>44569.0</v>
      </c>
      <c r="M1785" s="5">
        <v>44547.0</v>
      </c>
      <c r="N1785" s="1" t="s">
        <v>3107</v>
      </c>
    </row>
    <row r="1786" hidden="1">
      <c r="A1786" s="1" t="s">
        <v>24</v>
      </c>
      <c r="B1786" s="1" t="s">
        <v>25</v>
      </c>
      <c r="C1786" s="1" t="s">
        <v>4198</v>
      </c>
      <c r="D1786" s="1" t="str">
        <f>Vlookup(C1786,'Oil &amp; Gas Documents - Canada'!F:M,2,FALSE)</f>
        <v>#N/A</v>
      </c>
      <c r="E1786" s="1" t="str">
        <f>Vlookup(C1786,'Oil &amp; Gas Documents - Canada'!F:N,9,FALSE)</f>
        <v>#N/A</v>
      </c>
      <c r="F1786" s="1" t="s">
        <v>4199</v>
      </c>
      <c r="G1786" s="4" t="str">
        <f>HYPERLINK("http://nimonikapp.com/legislations/1127","http://nimonikapp.com/legislations/1127")</f>
        <v>http://nimonikapp.com/legislations/1127</v>
      </c>
      <c r="H1786" s="1" t="s">
        <v>18</v>
      </c>
      <c r="I1786" s="1" t="s">
        <v>4869</v>
      </c>
      <c r="J1786" s="1" t="s">
        <v>4870</v>
      </c>
      <c r="K1786" s="5">
        <v>44530.0</v>
      </c>
      <c r="L1786" s="5">
        <v>44562.0</v>
      </c>
      <c r="M1786" s="5">
        <v>44547.0</v>
      </c>
      <c r="N1786" s="1" t="s">
        <v>4202</v>
      </c>
    </row>
    <row r="1787" hidden="1">
      <c r="A1787" s="1" t="s">
        <v>24</v>
      </c>
      <c r="B1787" s="1" t="s">
        <v>25</v>
      </c>
      <c r="C1787" s="1" t="s">
        <v>3712</v>
      </c>
      <c r="D1787" s="1" t="str">
        <f>Vlookup(C1787,'Oil &amp; Gas Documents - Canada'!F:M,2,FALSE)</f>
        <v>#N/A</v>
      </c>
      <c r="E1787" s="1" t="str">
        <f>Vlookup(C1787,'Oil &amp; Gas Documents - Canada'!F:N,9,FALSE)</f>
        <v>#N/A</v>
      </c>
      <c r="F1787" s="1" t="s">
        <v>2660</v>
      </c>
      <c r="G1787" s="4" t="str">
        <f>HYPERLINK("http://nimonikapp.com/legislations/54","http://nimonikapp.com/legislations/54")</f>
        <v>http://nimonikapp.com/legislations/54</v>
      </c>
      <c r="H1787" s="1" t="s">
        <v>18</v>
      </c>
      <c r="I1787" s="1" t="s">
        <v>4869</v>
      </c>
      <c r="J1787" s="1" t="s">
        <v>4870</v>
      </c>
      <c r="K1787" s="5">
        <v>44530.0</v>
      </c>
      <c r="L1787" s="5">
        <v>44562.0</v>
      </c>
      <c r="M1787" s="5">
        <v>44547.0</v>
      </c>
      <c r="N1787" s="1" t="s">
        <v>3711</v>
      </c>
    </row>
    <row r="1788" hidden="1">
      <c r="A1788" s="1" t="s">
        <v>24</v>
      </c>
      <c r="B1788" s="1" t="s">
        <v>25</v>
      </c>
      <c r="C1788" s="1" t="s">
        <v>1617</v>
      </c>
      <c r="D1788" s="1" t="str">
        <f>Vlookup(C1788,'Oil &amp; Gas Documents - Canada'!F:M,2,FALSE)</f>
        <v>#N/A</v>
      </c>
      <c r="E1788" s="1" t="str">
        <f>Vlookup(C1788,'Oil &amp; Gas Documents - Canada'!F:N,9,FALSE)</f>
        <v>#N/A</v>
      </c>
      <c r="F1788" s="1" t="s">
        <v>1618</v>
      </c>
      <c r="G1788" s="4" t="str">
        <f>HYPERLINK("http://nimonikapp.com/legislations/1247","http://nimonikapp.com/legislations/1247")</f>
        <v>http://nimonikapp.com/legislations/1247</v>
      </c>
      <c r="H1788" s="1" t="s">
        <v>18</v>
      </c>
      <c r="I1788" s="1" t="s">
        <v>4871</v>
      </c>
      <c r="J1788" s="1" t="s">
        <v>4872</v>
      </c>
      <c r="K1788" s="5">
        <v>44530.0</v>
      </c>
      <c r="L1788" s="5">
        <v>44562.0</v>
      </c>
      <c r="M1788" s="5">
        <v>44547.0</v>
      </c>
      <c r="N1788" s="1" t="s">
        <v>1621</v>
      </c>
    </row>
    <row r="1789" hidden="1">
      <c r="A1789" s="1" t="s">
        <v>14</v>
      </c>
      <c r="B1789" s="1" t="s">
        <v>364</v>
      </c>
      <c r="C1789" s="1" t="s">
        <v>4873</v>
      </c>
      <c r="D1789" s="1" t="str">
        <f>Vlookup(C1789,'Oil &amp; Gas Documents - Canada'!F:M,2,FALSE)</f>
        <v>#N/A</v>
      </c>
      <c r="E1789" s="1" t="str">
        <f>Vlookup(C1789,'Oil &amp; Gas Documents - Canada'!F:N,9,FALSE)</f>
        <v>#N/A</v>
      </c>
      <c r="F1789" s="1" t="s">
        <v>4874</v>
      </c>
      <c r="G1789" s="4" t="str">
        <f>HYPERLINK("http://nimonikapp.com/legislations/15271","http://nimonikapp.com/legislations/15271")</f>
        <v>http://nimonikapp.com/legislations/15271</v>
      </c>
      <c r="H1789" s="1" t="s">
        <v>356</v>
      </c>
      <c r="I1789" s="1" t="s">
        <v>4875</v>
      </c>
      <c r="J1789" s="1" t="s">
        <v>4876</v>
      </c>
      <c r="K1789" s="5">
        <v>44540.0</v>
      </c>
      <c r="L1789" s="5">
        <v>44562.0</v>
      </c>
      <c r="M1789" s="5">
        <v>44547.0</v>
      </c>
      <c r="N1789" s="1" t="s">
        <v>4877</v>
      </c>
    </row>
    <row r="1790" hidden="1">
      <c r="A1790" s="1" t="s">
        <v>202</v>
      </c>
      <c r="B1790" s="1" t="s">
        <v>25</v>
      </c>
      <c r="C1790" s="1" t="s">
        <v>1110</v>
      </c>
      <c r="D1790" s="1" t="str">
        <f>Vlookup(C1790,'Oil &amp; Gas Documents - Canada'!F:M,2,FALSE)</f>
        <v>#N/A</v>
      </c>
      <c r="E1790" s="1" t="str">
        <f>Vlookup(C1790,'Oil &amp; Gas Documents - Canada'!F:N,9,FALSE)</f>
        <v>#N/A</v>
      </c>
      <c r="F1790" s="1" t="s">
        <v>1111</v>
      </c>
      <c r="G1790" s="4" t="str">
        <f>HYPERLINK("http://nimonikapp.com/legislations/980","http://nimonikapp.com/legislations/980")</f>
        <v>http://nimonikapp.com/legislations/980</v>
      </c>
      <c r="H1790" s="1" t="s">
        <v>18</v>
      </c>
      <c r="I1790" s="1" t="s">
        <v>4878</v>
      </c>
      <c r="J1790" s="1" t="s">
        <v>4879</v>
      </c>
      <c r="K1790" s="5">
        <v>44524.0</v>
      </c>
      <c r="L1790" s="5">
        <v>44569.0</v>
      </c>
      <c r="M1790" s="5">
        <v>44544.0</v>
      </c>
      <c r="N1790" s="1" t="s">
        <v>1114</v>
      </c>
    </row>
    <row r="1791" hidden="1">
      <c r="A1791" s="1" t="s">
        <v>70</v>
      </c>
      <c r="B1791" s="1" t="s">
        <v>25</v>
      </c>
      <c r="C1791" s="1" t="s">
        <v>4880</v>
      </c>
      <c r="D1791" s="1" t="str">
        <f>Vlookup(C1791,'Oil &amp; Gas Documents - Canada'!F:M,2,FALSE)</f>
        <v>#N/A</v>
      </c>
      <c r="E1791" s="1" t="str">
        <f>Vlookup(C1791,'Oil &amp; Gas Documents - Canada'!F:N,9,FALSE)</f>
        <v>#N/A</v>
      </c>
      <c r="F1791" s="1" t="s">
        <v>4881</v>
      </c>
      <c r="G1791" s="4" t="str">
        <f>HYPERLINK("http://nimonikapp.com/legislations/270127","http://nimonikapp.com/legislations/270127")</f>
        <v>http://nimonikapp.com/legislations/270127</v>
      </c>
      <c r="H1791" s="1" t="s">
        <v>18</v>
      </c>
      <c r="I1791" s="1" t="s">
        <v>4882</v>
      </c>
      <c r="J1791" s="1" t="s">
        <v>4883</v>
      </c>
      <c r="K1791" s="5">
        <v>44548.0</v>
      </c>
      <c r="L1791" s="5">
        <v>44562.0</v>
      </c>
      <c r="M1791" s="5">
        <v>44544.0</v>
      </c>
      <c r="N1791" s="1" t="s">
        <v>4884</v>
      </c>
    </row>
    <row r="1792" hidden="1">
      <c r="A1792" s="1" t="s">
        <v>70</v>
      </c>
      <c r="B1792" s="1" t="s">
        <v>25</v>
      </c>
      <c r="C1792" s="1" t="s">
        <v>4027</v>
      </c>
      <c r="D1792" s="1" t="str">
        <f>Vlookup(C1792,'Oil &amp; Gas Documents - Canada'!F:M,2,FALSE)</f>
        <v>#N/A</v>
      </c>
      <c r="E1792" s="1" t="str">
        <f>Vlookup(C1792,'Oil &amp; Gas Documents - Canada'!F:N,9,FALSE)</f>
        <v>#N/A</v>
      </c>
      <c r="F1792" s="1" t="s">
        <v>4028</v>
      </c>
      <c r="G1792" s="4" t="str">
        <f>HYPERLINK("http://nimonikapp.com/legislations/161255","http://nimonikapp.com/legislations/161255")</f>
        <v>http://nimonikapp.com/legislations/161255</v>
      </c>
      <c r="H1792" s="1" t="s">
        <v>356</v>
      </c>
      <c r="I1792" s="1" t="s">
        <v>4885</v>
      </c>
      <c r="J1792" s="1" t="s">
        <v>4830</v>
      </c>
      <c r="K1792" s="5">
        <v>44555.0</v>
      </c>
      <c r="L1792" s="5">
        <v>44562.0</v>
      </c>
      <c r="M1792" s="5">
        <v>44544.0</v>
      </c>
      <c r="N1792" s="1" t="s">
        <v>4030</v>
      </c>
    </row>
    <row r="1793" hidden="1">
      <c r="A1793" s="1" t="s">
        <v>70</v>
      </c>
      <c r="B1793" s="1" t="s">
        <v>25</v>
      </c>
      <c r="C1793" s="1" t="s">
        <v>4031</v>
      </c>
      <c r="D1793" s="1" t="str">
        <f>Vlookup(C1793,'Oil &amp; Gas Documents - Canada'!F:M,2,FALSE)</f>
        <v>#N/A</v>
      </c>
      <c r="E1793" s="1" t="str">
        <f>Vlookup(C1793,'Oil &amp; Gas Documents - Canada'!F:N,9,FALSE)</f>
        <v>#N/A</v>
      </c>
      <c r="F1793" s="1" t="s">
        <v>4032</v>
      </c>
      <c r="G1793" s="4" t="str">
        <f>HYPERLINK("http://nimonikapp.com/legislations/193103","http://nimonikapp.com/legislations/193103")</f>
        <v>http://nimonikapp.com/legislations/193103</v>
      </c>
      <c r="H1793" s="1" t="s">
        <v>356</v>
      </c>
      <c r="I1793" s="1" t="s">
        <v>4886</v>
      </c>
      <c r="J1793" s="1" t="s">
        <v>4887</v>
      </c>
      <c r="K1793" s="5">
        <v>44555.0</v>
      </c>
      <c r="L1793" s="5">
        <v>44562.0</v>
      </c>
      <c r="M1793" s="5">
        <v>44544.0</v>
      </c>
      <c r="N1793" s="1" t="s">
        <v>4030</v>
      </c>
    </row>
    <row r="1794" hidden="1">
      <c r="A1794" s="1" t="s">
        <v>70</v>
      </c>
      <c r="B1794" s="1" t="s">
        <v>25</v>
      </c>
      <c r="C1794" s="1" t="s">
        <v>4461</v>
      </c>
      <c r="D1794" s="1" t="str">
        <f>Vlookup(C1794,'Oil &amp; Gas Documents - Canada'!F:M,2,FALSE)</f>
        <v>#N/A</v>
      </c>
      <c r="E1794" s="1" t="str">
        <f>Vlookup(C1794,'Oil &amp; Gas Documents - Canada'!F:N,9,FALSE)</f>
        <v>#N/A</v>
      </c>
      <c r="F1794" s="1" t="s">
        <v>4462</v>
      </c>
      <c r="G1794" s="4" t="str">
        <f>HYPERLINK("http://nimonikapp.com/legislations/3620","http://nimonikapp.com/legislations/3620")</f>
        <v>http://nimonikapp.com/legislations/3620</v>
      </c>
      <c r="H1794" s="1" t="s">
        <v>18</v>
      </c>
      <c r="I1794" s="1" t="s">
        <v>4888</v>
      </c>
      <c r="J1794" s="1" t="s">
        <v>4464</v>
      </c>
      <c r="K1794" s="5">
        <v>44555.0</v>
      </c>
      <c r="L1794" s="5">
        <v>44562.0</v>
      </c>
      <c r="M1794" s="5">
        <v>44544.0</v>
      </c>
    </row>
    <row r="1795" hidden="1">
      <c r="A1795" s="1" t="s">
        <v>70</v>
      </c>
      <c r="B1795" s="1" t="s">
        <v>25</v>
      </c>
      <c r="C1795" s="1" t="s">
        <v>3347</v>
      </c>
      <c r="D1795" s="1" t="str">
        <f>Vlookup(C1795,'Oil &amp; Gas Documents - Canada'!F:M,2,FALSE)</f>
        <v>#N/A</v>
      </c>
      <c r="E1795" s="1" t="str">
        <f>Vlookup(C1795,'Oil &amp; Gas Documents - Canada'!F:N,9,FALSE)</f>
        <v>#N/A</v>
      </c>
      <c r="F1795" s="1" t="s">
        <v>3348</v>
      </c>
      <c r="G1795" s="4" t="str">
        <f>HYPERLINK("http://nimonikapp.com/legislations/1270","http://nimonikapp.com/legislations/1270")</f>
        <v>http://nimonikapp.com/legislations/1270</v>
      </c>
      <c r="H1795" s="1" t="s">
        <v>18</v>
      </c>
      <c r="I1795" s="1" t="s">
        <v>4889</v>
      </c>
      <c r="J1795" s="1" t="s">
        <v>3350</v>
      </c>
      <c r="K1795" s="5">
        <v>44555.0</v>
      </c>
      <c r="L1795" s="5">
        <v>44562.0</v>
      </c>
      <c r="M1795" s="5">
        <v>44544.0</v>
      </c>
      <c r="N1795" s="1" t="s">
        <v>3351</v>
      </c>
    </row>
    <row r="1796" hidden="1">
      <c r="A1796" s="1" t="s">
        <v>70</v>
      </c>
      <c r="B1796" s="1" t="s">
        <v>25</v>
      </c>
      <c r="C1796" s="1" t="s">
        <v>4890</v>
      </c>
      <c r="D1796" s="1" t="str">
        <f>Vlookup(C1796,'Oil &amp; Gas Documents - Canada'!F:M,2,FALSE)</f>
        <v>#N/A</v>
      </c>
      <c r="E1796" s="1" t="str">
        <f>Vlookup(C1796,'Oil &amp; Gas Documents - Canada'!F:N,9,FALSE)</f>
        <v>#N/A</v>
      </c>
      <c r="F1796" s="1" t="s">
        <v>4891</v>
      </c>
      <c r="G1796" s="4" t="str">
        <f>HYPERLINK("http://nimonikapp.com/legislations/3981","http://nimonikapp.com/legislations/3981")</f>
        <v>http://nimonikapp.com/legislations/3981</v>
      </c>
      <c r="H1796" s="1" t="s">
        <v>18</v>
      </c>
      <c r="I1796" s="1" t="s">
        <v>4892</v>
      </c>
      <c r="J1796" s="1" t="s">
        <v>4893</v>
      </c>
      <c r="K1796" s="5">
        <v>44197.0</v>
      </c>
      <c r="L1796" s="5">
        <v>44562.0</v>
      </c>
      <c r="M1796" s="5">
        <v>44544.0</v>
      </c>
    </row>
    <row r="1797" hidden="1">
      <c r="A1797" s="1" t="s">
        <v>24</v>
      </c>
      <c r="B1797" s="1" t="s">
        <v>25</v>
      </c>
      <c r="C1797" s="1" t="s">
        <v>815</v>
      </c>
      <c r="D1797" s="1" t="str">
        <f>Vlookup(C1797,'Oil &amp; Gas Documents - Canada'!F:M,2,FALSE)</f>
        <v>#N/A</v>
      </c>
      <c r="E1797" s="1" t="str">
        <f>Vlookup(C1797,'Oil &amp; Gas Documents - Canada'!F:N,9,FALSE)</f>
        <v>#N/A</v>
      </c>
      <c r="F1797" s="1" t="s">
        <v>816</v>
      </c>
      <c r="G1797" s="4" t="str">
        <f>HYPERLINK("http://nimonikapp.com/legislations/101","http://nimonikapp.com/legislations/101")</f>
        <v>http://nimonikapp.com/legislations/101</v>
      </c>
      <c r="H1797" s="1" t="s">
        <v>18</v>
      </c>
      <c r="I1797" s="1" t="s">
        <v>4894</v>
      </c>
      <c r="J1797" s="1" t="s">
        <v>4895</v>
      </c>
      <c r="K1797" s="5">
        <v>44523.0</v>
      </c>
      <c r="L1797" s="5">
        <v>44562.0</v>
      </c>
      <c r="M1797" s="5">
        <v>44544.0</v>
      </c>
      <c r="N1797" s="1" t="s">
        <v>819</v>
      </c>
    </row>
    <row r="1798" hidden="1">
      <c r="A1798" s="1" t="s">
        <v>70</v>
      </c>
      <c r="B1798" s="1" t="s">
        <v>25</v>
      </c>
      <c r="C1798" s="1" t="s">
        <v>4896</v>
      </c>
      <c r="D1798" s="1" t="str">
        <f>Vlookup(C1798,'Oil &amp; Gas Documents - Canada'!F:M,2,FALSE)</f>
        <v>#N/A</v>
      </c>
      <c r="E1798" s="1" t="str">
        <f>Vlookup(C1798,'Oil &amp; Gas Documents - Canada'!F:N,9,FALSE)</f>
        <v>#N/A</v>
      </c>
      <c r="F1798" s="1" t="s">
        <v>4897</v>
      </c>
      <c r="G1798" s="4" t="str">
        <f>HYPERLINK("http://nimonikapp.com/legislations/4513","http://nimonikapp.com/legislations/4513")</f>
        <v>http://nimonikapp.com/legislations/4513</v>
      </c>
      <c r="H1798" s="1" t="s">
        <v>18</v>
      </c>
      <c r="I1798" s="1" t="s">
        <v>4898</v>
      </c>
      <c r="J1798" s="1" t="s">
        <v>4899</v>
      </c>
      <c r="K1798" s="5">
        <v>44555.0</v>
      </c>
      <c r="L1798" s="5">
        <v>44562.0</v>
      </c>
      <c r="M1798" s="5">
        <v>44543.0</v>
      </c>
    </row>
    <row r="1799" hidden="1">
      <c r="A1799" s="1" t="s">
        <v>73</v>
      </c>
      <c r="B1799" s="1" t="s">
        <v>25</v>
      </c>
      <c r="C1799" s="1" t="s">
        <v>1066</v>
      </c>
      <c r="D1799" s="1" t="str">
        <f>Vlookup(C1799,'Oil &amp; Gas Documents - Canada'!F:M,2,FALSE)</f>
        <v>#N/A</v>
      </c>
      <c r="E1799" s="1" t="str">
        <f>Vlookup(C1799,'Oil &amp; Gas Documents - Canada'!F:N,9,FALSE)</f>
        <v>#N/A</v>
      </c>
      <c r="F1799" s="1" t="s">
        <v>1067</v>
      </c>
      <c r="G1799" s="4" t="str">
        <f>HYPERLINK("http://nimonikapp.com/legislations/786","http://nimonikapp.com/legislations/786")</f>
        <v>http://nimonikapp.com/legislations/786</v>
      </c>
      <c r="H1799" s="1" t="s">
        <v>18</v>
      </c>
      <c r="I1799" s="1" t="s">
        <v>4900</v>
      </c>
      <c r="J1799" s="1" t="s">
        <v>4901</v>
      </c>
      <c r="K1799" s="5">
        <v>44538.0</v>
      </c>
      <c r="L1799" s="5">
        <v>44568.0</v>
      </c>
      <c r="M1799" s="5">
        <v>44539.0</v>
      </c>
      <c r="N1799" s="1" t="s">
        <v>1068</v>
      </c>
    </row>
    <row r="1800" hidden="1">
      <c r="A1800" s="1" t="s">
        <v>99</v>
      </c>
      <c r="B1800" s="1" t="s">
        <v>364</v>
      </c>
      <c r="C1800" s="1" t="s">
        <v>3136</v>
      </c>
      <c r="D1800" s="1" t="str">
        <f>Vlookup(C1800,'Oil &amp; Gas Documents - Canada'!F:M,2,FALSE)</f>
        <v>#N/A</v>
      </c>
      <c r="E1800" s="1" t="str">
        <f>Vlookup(C1800,'Oil &amp; Gas Documents - Canada'!F:N,9,FALSE)</f>
        <v>#N/A</v>
      </c>
      <c r="F1800" s="1" t="s">
        <v>3137</v>
      </c>
      <c r="G1800" s="4" t="str">
        <f>HYPERLINK("http://nimonikapp.com/legislations/310","http://nimonikapp.com/legislations/310")</f>
        <v>http://nimonikapp.com/legislations/310</v>
      </c>
      <c r="H1800" s="1" t="s">
        <v>356</v>
      </c>
      <c r="I1800" s="1" t="s">
        <v>3155</v>
      </c>
      <c r="J1800" s="1" t="s">
        <v>3156</v>
      </c>
      <c r="K1800" s="5">
        <v>44516.0</v>
      </c>
      <c r="L1800" s="5">
        <v>44700.0</v>
      </c>
      <c r="M1800" s="5">
        <v>44523.0</v>
      </c>
      <c r="N1800" s="1" t="s">
        <v>3140</v>
      </c>
    </row>
    <row r="1801" hidden="1">
      <c r="A1801" s="1" t="s">
        <v>99</v>
      </c>
      <c r="B1801" s="1" t="s">
        <v>25</v>
      </c>
      <c r="C1801" s="1" t="s">
        <v>3141</v>
      </c>
      <c r="D1801" s="1" t="str">
        <f>Vlookup(C1801,'Oil &amp; Gas Documents - Canada'!F:M,2,FALSE)</f>
        <v>#N/A</v>
      </c>
      <c r="E1801" s="1" t="str">
        <f>Vlookup(C1801,'Oil &amp; Gas Documents - Canada'!F:N,9,FALSE)</f>
        <v>#N/A</v>
      </c>
      <c r="F1801" s="1" t="s">
        <v>3142</v>
      </c>
      <c r="G1801" s="4" t="str">
        <f>HYPERLINK("http://nimonikapp.com/legislations/1412","http://nimonikapp.com/legislations/1412")</f>
        <v>http://nimonikapp.com/legislations/1412</v>
      </c>
      <c r="H1801" s="1" t="s">
        <v>18</v>
      </c>
      <c r="I1801" s="1" t="s">
        <v>3155</v>
      </c>
      <c r="J1801" s="1" t="s">
        <v>3156</v>
      </c>
      <c r="K1801" s="5">
        <v>44516.0</v>
      </c>
      <c r="L1801" s="5">
        <v>44700.0</v>
      </c>
      <c r="M1801" s="5">
        <v>44523.0</v>
      </c>
      <c r="N1801" s="1" t="s">
        <v>3143</v>
      </c>
    </row>
    <row r="1802" hidden="1">
      <c r="A1802" s="1" t="s">
        <v>99</v>
      </c>
      <c r="B1802" s="1" t="s">
        <v>25</v>
      </c>
      <c r="C1802" s="1" t="s">
        <v>3144</v>
      </c>
      <c r="D1802" s="1" t="str">
        <f>Vlookup(C1802,'Oil &amp; Gas Documents - Canada'!F:M,2,FALSE)</f>
        <v>#N/A</v>
      </c>
      <c r="E1802" s="1" t="str">
        <f>Vlookup(C1802,'Oil &amp; Gas Documents - Canada'!F:N,9,FALSE)</f>
        <v>#N/A</v>
      </c>
      <c r="F1802" s="1" t="s">
        <v>3145</v>
      </c>
      <c r="G1802" s="4" t="str">
        <f>HYPERLINK("http://nimonikapp.com/legislations/1577","http://nimonikapp.com/legislations/1577")</f>
        <v>http://nimonikapp.com/legislations/1577</v>
      </c>
      <c r="H1802" s="1" t="s">
        <v>18</v>
      </c>
      <c r="I1802" s="1" t="s">
        <v>3155</v>
      </c>
      <c r="J1802" s="1" t="s">
        <v>3156</v>
      </c>
      <c r="K1802" s="5">
        <v>44516.0</v>
      </c>
      <c r="L1802" s="5">
        <v>44700.0</v>
      </c>
      <c r="M1802" s="5">
        <v>44523.0</v>
      </c>
      <c r="N1802" s="1" t="s">
        <v>3146</v>
      </c>
    </row>
    <row r="1803" hidden="1">
      <c r="A1803" s="1" t="s">
        <v>99</v>
      </c>
      <c r="B1803" s="1" t="s">
        <v>25</v>
      </c>
      <c r="C1803" s="1" t="s">
        <v>3150</v>
      </c>
      <c r="D1803" s="1" t="str">
        <f>Vlookup(C1803,'Oil &amp; Gas Documents - Canada'!F:M,2,FALSE)</f>
        <v>#N/A</v>
      </c>
      <c r="E1803" s="1" t="str">
        <f>Vlookup(C1803,'Oil &amp; Gas Documents - Canada'!F:N,9,FALSE)</f>
        <v>#N/A</v>
      </c>
      <c r="F1803" s="1" t="s">
        <v>3151</v>
      </c>
      <c r="G1803" s="4" t="str">
        <f>HYPERLINK("http://nimonikapp.com/legislations/118519","http://nimonikapp.com/legislations/118519")</f>
        <v>http://nimonikapp.com/legislations/118519</v>
      </c>
      <c r="H1803" s="1" t="s">
        <v>18</v>
      </c>
      <c r="I1803" s="1" t="s">
        <v>3155</v>
      </c>
      <c r="J1803" s="1" t="s">
        <v>3156</v>
      </c>
      <c r="K1803" s="5">
        <v>44516.0</v>
      </c>
      <c r="L1803" s="5">
        <v>44700.0</v>
      </c>
      <c r="M1803" s="5">
        <v>44523.0</v>
      </c>
    </row>
    <row r="1804" hidden="1">
      <c r="A1804" s="1" t="s">
        <v>99</v>
      </c>
      <c r="B1804" s="1" t="s">
        <v>25</v>
      </c>
      <c r="C1804" s="1" t="s">
        <v>3152</v>
      </c>
      <c r="D1804" s="1" t="str">
        <f>Vlookup(C1804,'Oil &amp; Gas Documents - Canada'!F:M,2,FALSE)</f>
        <v>#N/A</v>
      </c>
      <c r="E1804" s="1" t="str">
        <f>Vlookup(C1804,'Oil &amp; Gas Documents - Canada'!F:N,9,FALSE)</f>
        <v>#N/A</v>
      </c>
      <c r="F1804" s="1" t="s">
        <v>3153</v>
      </c>
      <c r="G1804" s="4" t="str">
        <f>HYPERLINK("http://nimonikapp.com/legislations/1404","http://nimonikapp.com/legislations/1404")</f>
        <v>http://nimonikapp.com/legislations/1404</v>
      </c>
      <c r="H1804" s="1" t="s">
        <v>18</v>
      </c>
      <c r="I1804" s="1" t="s">
        <v>3155</v>
      </c>
      <c r="J1804" s="1" t="s">
        <v>3156</v>
      </c>
      <c r="K1804" s="5">
        <v>44516.0</v>
      </c>
      <c r="L1804" s="5">
        <v>44700.0</v>
      </c>
      <c r="M1804" s="5">
        <v>44523.0</v>
      </c>
      <c r="N1804" s="1" t="s">
        <v>3154</v>
      </c>
    </row>
    <row r="1805" hidden="1">
      <c r="A1805" s="1" t="s">
        <v>99</v>
      </c>
      <c r="B1805" s="1" t="s">
        <v>25</v>
      </c>
      <c r="C1805" s="1" t="s">
        <v>1327</v>
      </c>
      <c r="D1805" s="1" t="str">
        <f>Vlookup(C1805,'Oil &amp; Gas Documents - Canada'!F:M,2,FALSE)</f>
        <v>#N/A</v>
      </c>
      <c r="E1805" s="1" t="str">
        <f>Vlookup(C1805,'Oil &amp; Gas Documents - Canada'!F:N,9,FALSE)</f>
        <v>#N/A</v>
      </c>
      <c r="F1805" s="1" t="s">
        <v>1328</v>
      </c>
      <c r="G1805" s="4" t="str">
        <f>HYPERLINK("http://nimonikapp.com/legislations/552","http://nimonikapp.com/legislations/552")</f>
        <v>http://nimonikapp.com/legislations/552</v>
      </c>
      <c r="H1805" s="1" t="s">
        <v>18</v>
      </c>
      <c r="I1805" s="1" t="s">
        <v>3155</v>
      </c>
      <c r="J1805" s="1" t="s">
        <v>3156</v>
      </c>
      <c r="K1805" s="5">
        <v>44516.0</v>
      </c>
      <c r="L1805" s="5">
        <v>44700.0</v>
      </c>
      <c r="M1805" s="5">
        <v>44523.0</v>
      </c>
    </row>
    <row r="1806" hidden="1">
      <c r="A1806" s="1" t="s">
        <v>70</v>
      </c>
      <c r="B1806" s="1" t="s">
        <v>25</v>
      </c>
      <c r="C1806" s="1" t="s">
        <v>4902</v>
      </c>
      <c r="D1806" s="1" t="str">
        <f>Vlookup(C1806,'Oil &amp; Gas Documents - Canada'!F:M,2,FALSE)</f>
        <v>#N/A</v>
      </c>
      <c r="E1806" s="1" t="str">
        <f>Vlookup(C1806,'Oil &amp; Gas Documents - Canada'!F:N,9,FALSE)</f>
        <v>#N/A</v>
      </c>
      <c r="F1806" s="1" t="s">
        <v>4903</v>
      </c>
      <c r="G1806" s="4" t="str">
        <f>HYPERLINK("http://nimonikapp.com/legislations/1611","http://nimonikapp.com/legislations/1611")</f>
        <v>http://nimonikapp.com/legislations/1611</v>
      </c>
      <c r="H1806" s="1" t="s">
        <v>18</v>
      </c>
      <c r="I1806" s="1" t="s">
        <v>4904</v>
      </c>
      <c r="J1806" s="1" t="s">
        <v>4905</v>
      </c>
      <c r="K1806" s="5">
        <v>44534.0</v>
      </c>
      <c r="L1806" s="5">
        <v>44686.0</v>
      </c>
      <c r="M1806" s="5">
        <v>44523.0</v>
      </c>
      <c r="N1806" s="1" t="s">
        <v>4906</v>
      </c>
    </row>
    <row r="1807" hidden="1">
      <c r="A1807" s="1" t="s">
        <v>99</v>
      </c>
      <c r="B1807" s="1" t="s">
        <v>25</v>
      </c>
      <c r="C1807" s="1" t="s">
        <v>4907</v>
      </c>
      <c r="D1807" s="1" t="str">
        <f>Vlookup(C1807,'Oil &amp; Gas Documents - Canada'!F:M,2,FALSE)</f>
        <v>#N/A</v>
      </c>
      <c r="E1807" s="1" t="str">
        <f>Vlookup(C1807,'Oil &amp; Gas Documents - Canada'!F:N,9,FALSE)</f>
        <v>#N/A</v>
      </c>
      <c r="F1807" s="1" t="s">
        <v>4908</v>
      </c>
      <c r="G1807" s="4" t="str">
        <f>HYPERLINK("http://nimonikapp.com/legislations/110759","http://nimonikapp.com/legislations/110759")</f>
        <v>http://nimonikapp.com/legislations/110759</v>
      </c>
      <c r="H1807" s="1" t="s">
        <v>18</v>
      </c>
      <c r="I1807" s="1" t="s">
        <v>4301</v>
      </c>
      <c r="J1807" s="1" t="s">
        <v>4302</v>
      </c>
      <c r="K1807" s="5">
        <v>44504.0</v>
      </c>
      <c r="L1807" s="5">
        <v>44596.0</v>
      </c>
      <c r="M1807" s="5">
        <v>44511.0</v>
      </c>
      <c r="N1807" s="1" t="s">
        <v>4909</v>
      </c>
    </row>
    <row r="1808" hidden="1">
      <c r="A1808" s="1" t="s">
        <v>70</v>
      </c>
      <c r="B1808" s="1" t="s">
        <v>25</v>
      </c>
      <c r="C1808" s="1" t="s">
        <v>4910</v>
      </c>
      <c r="D1808" s="1" t="str">
        <f>Vlookup(C1808,'Oil &amp; Gas Documents - Canada'!F:M,2,FALSE)</f>
        <v>#N/A</v>
      </c>
      <c r="E1808" s="1" t="str">
        <f>Vlookup(C1808,'Oil &amp; Gas Documents - Canada'!F:N,9,FALSE)</f>
        <v>#N/A</v>
      </c>
      <c r="F1808" s="1" t="s">
        <v>4911</v>
      </c>
      <c r="G1808" s="4" t="str">
        <f>HYPERLINK("http://nimonikapp.com/legislations/3626","http://nimonikapp.com/legislations/3626")</f>
        <v>http://nimonikapp.com/legislations/3626</v>
      </c>
      <c r="H1808" s="1" t="s">
        <v>18</v>
      </c>
      <c r="I1808" s="1" t="s">
        <v>4912</v>
      </c>
      <c r="J1808" s="1" t="s">
        <v>4913</v>
      </c>
      <c r="K1808" s="5">
        <v>44520.0</v>
      </c>
      <c r="L1808" s="5">
        <v>44562.0</v>
      </c>
      <c r="M1808" s="5">
        <v>44509.0</v>
      </c>
    </row>
    <row r="1809" hidden="1">
      <c r="A1809" s="1" t="s">
        <v>70</v>
      </c>
      <c r="B1809" s="1" t="s">
        <v>25</v>
      </c>
      <c r="C1809" s="1" t="s">
        <v>3343</v>
      </c>
      <c r="D1809" s="1" t="str">
        <f>Vlookup(C1809,'Oil &amp; Gas Documents - Canada'!F:M,2,FALSE)</f>
        <v>#N/A</v>
      </c>
      <c r="E1809" s="1" t="str">
        <f>Vlookup(C1809,'Oil &amp; Gas Documents - Canada'!F:N,9,FALSE)</f>
        <v>#N/A</v>
      </c>
      <c r="F1809" s="1" t="s">
        <v>3344</v>
      </c>
      <c r="G1809" s="4" t="str">
        <f>HYPERLINK("http://nimonikapp.com/legislations/113714","http://nimonikapp.com/legislations/113714")</f>
        <v>http://nimonikapp.com/legislations/113714</v>
      </c>
      <c r="H1809" s="1" t="s">
        <v>18</v>
      </c>
      <c r="I1809" s="1" t="s">
        <v>4914</v>
      </c>
      <c r="J1809" s="1" t="s">
        <v>3346</v>
      </c>
      <c r="K1809" s="5">
        <v>44520.0</v>
      </c>
      <c r="L1809" s="5">
        <v>44562.0</v>
      </c>
      <c r="M1809" s="5">
        <v>44509.0</v>
      </c>
    </row>
    <row r="1810" hidden="1">
      <c r="A1810" s="1" t="s">
        <v>14</v>
      </c>
      <c r="B1810" s="1" t="s">
        <v>25</v>
      </c>
      <c r="C1810" s="1" t="s">
        <v>3717</v>
      </c>
      <c r="D1810" s="1" t="str">
        <f>Vlookup(C1810,'Oil &amp; Gas Documents - Canada'!F:M,2,FALSE)</f>
        <v>#N/A</v>
      </c>
      <c r="E1810" s="1" t="str">
        <f>Vlookup(C1810,'Oil &amp; Gas Documents - Canada'!F:N,9,FALSE)</f>
        <v>#N/A</v>
      </c>
      <c r="F1810" s="1" t="s">
        <v>3718</v>
      </c>
      <c r="G1810" s="4" t="str">
        <f>HYPERLINK("http://nimonikapp.com/legislations/3677","http://nimonikapp.com/legislations/3677")</f>
        <v>http://nimonikapp.com/legislations/3677</v>
      </c>
      <c r="H1810" s="1" t="s">
        <v>18</v>
      </c>
      <c r="I1810" s="1" t="s">
        <v>4915</v>
      </c>
      <c r="J1810" s="1" t="s">
        <v>4916</v>
      </c>
      <c r="K1810" s="5">
        <v>44498.0</v>
      </c>
      <c r="L1810" s="5">
        <v>44562.0</v>
      </c>
      <c r="M1810" s="5">
        <v>44501.0</v>
      </c>
      <c r="N1810" s="1" t="s">
        <v>3721</v>
      </c>
    </row>
    <row r="1811" hidden="1">
      <c r="A1811" s="1" t="s">
        <v>99</v>
      </c>
      <c r="B1811" s="1" t="s">
        <v>25</v>
      </c>
      <c r="C1811" s="1" t="s">
        <v>1331</v>
      </c>
      <c r="D1811" s="1" t="str">
        <f>Vlookup(C1811,'Oil &amp; Gas Documents - Canada'!F:M,2,FALSE)</f>
        <v>#N/A</v>
      </c>
      <c r="E1811" s="1" t="str">
        <f>Vlookup(C1811,'Oil &amp; Gas Documents - Canada'!F:N,9,FALSE)</f>
        <v>#N/A</v>
      </c>
      <c r="F1811" s="1" t="s">
        <v>1332</v>
      </c>
      <c r="G1811" s="4" t="str">
        <f>HYPERLINK("http://nimonikapp.com/legislations/115157","http://nimonikapp.com/legislations/115157")</f>
        <v>http://nimonikapp.com/legislations/115157</v>
      </c>
      <c r="H1811" s="1" t="s">
        <v>18</v>
      </c>
      <c r="I1811" s="1" t="s">
        <v>4917</v>
      </c>
      <c r="J1811" s="1" t="s">
        <v>4918</v>
      </c>
      <c r="K1811" s="5">
        <v>44496.0</v>
      </c>
      <c r="L1811" s="5">
        <v>44805.0</v>
      </c>
      <c r="M1811" s="5">
        <v>44501.0</v>
      </c>
      <c r="N1811" s="1" t="s">
        <v>1335</v>
      </c>
    </row>
    <row r="1812" hidden="1">
      <c r="A1812" s="1" t="s">
        <v>70</v>
      </c>
      <c r="B1812" s="1" t="s">
        <v>25</v>
      </c>
      <c r="C1812" s="1" t="s">
        <v>4803</v>
      </c>
      <c r="D1812" s="1" t="str">
        <f>Vlookup(C1812,'Oil &amp; Gas Documents - Canada'!F:M,2,FALSE)</f>
        <v>#N/A</v>
      </c>
      <c r="E1812" s="1" t="str">
        <f>Vlookup(C1812,'Oil &amp; Gas Documents - Canada'!F:N,9,FALSE)</f>
        <v>#N/A</v>
      </c>
      <c r="F1812" s="1" t="s">
        <v>4804</v>
      </c>
      <c r="G1812" s="4" t="str">
        <f>HYPERLINK("http://nimonikapp.com/legislations/104382","http://nimonikapp.com/legislations/104382")</f>
        <v>http://nimonikapp.com/legislations/104382</v>
      </c>
      <c r="H1812" s="1" t="s">
        <v>18</v>
      </c>
      <c r="I1812" s="1" t="s">
        <v>4919</v>
      </c>
      <c r="J1812" s="1" t="s">
        <v>4806</v>
      </c>
      <c r="K1812" s="5">
        <v>44506.0</v>
      </c>
      <c r="L1812" s="5">
        <v>44724.0</v>
      </c>
      <c r="M1812" s="5">
        <v>44495.0</v>
      </c>
    </row>
    <row r="1813" hidden="1">
      <c r="A1813" s="1" t="s">
        <v>73</v>
      </c>
      <c r="B1813" s="1" t="s">
        <v>15</v>
      </c>
      <c r="C1813" s="1" t="s">
        <v>4920</v>
      </c>
      <c r="D1813" s="1" t="str">
        <f>Vlookup(C1813,'Oil &amp; Gas Documents - Canada'!F:M,2,FALSE)</f>
        <v>#N/A</v>
      </c>
      <c r="E1813" s="1" t="str">
        <f>Vlookup(C1813,'Oil &amp; Gas Documents - Canada'!F:N,9,FALSE)</f>
        <v>#N/A</v>
      </c>
      <c r="F1813" s="1" t="s">
        <v>4921</v>
      </c>
      <c r="G1813" s="4" t="str">
        <f>HYPERLINK("http://nimonikapp.com/legislations/2372","http://nimonikapp.com/legislations/2372")</f>
        <v>http://nimonikapp.com/legislations/2372</v>
      </c>
      <c r="H1813" s="1" t="s">
        <v>18</v>
      </c>
      <c r="I1813" s="1" t="s">
        <v>1736</v>
      </c>
      <c r="J1813" s="1" t="s">
        <v>1737</v>
      </c>
      <c r="K1813" s="5">
        <v>44347.0</v>
      </c>
      <c r="L1813" s="5">
        <v>44593.0</v>
      </c>
      <c r="M1813" s="5">
        <v>44495.0</v>
      </c>
      <c r="N1813" s="1" t="s">
        <v>4922</v>
      </c>
    </row>
    <row r="1814" hidden="1">
      <c r="A1814" s="1" t="s">
        <v>70</v>
      </c>
      <c r="B1814" s="1" t="s">
        <v>25</v>
      </c>
      <c r="C1814" s="1" t="s">
        <v>4923</v>
      </c>
      <c r="D1814" s="1" t="str">
        <f>Vlookup(C1814,'Oil &amp; Gas Documents - Canada'!F:M,2,FALSE)</f>
        <v>#N/A</v>
      </c>
      <c r="E1814" s="1" t="str">
        <f>Vlookup(C1814,'Oil &amp; Gas Documents - Canada'!F:N,9,FALSE)</f>
        <v>#N/A</v>
      </c>
      <c r="F1814" s="1" t="s">
        <v>4924</v>
      </c>
      <c r="G1814" s="4" t="str">
        <f>HYPERLINK("http://nimonikapp.com/legislations/10327","http://nimonikapp.com/legislations/10327")</f>
        <v>http://nimonikapp.com/legislations/10327</v>
      </c>
      <c r="H1814" s="1" t="s">
        <v>18</v>
      </c>
      <c r="I1814" s="1" t="s">
        <v>4925</v>
      </c>
      <c r="J1814" s="1" t="s">
        <v>4926</v>
      </c>
      <c r="K1814" s="5">
        <v>44499.0</v>
      </c>
      <c r="L1814" s="5">
        <v>44562.0</v>
      </c>
      <c r="M1814" s="5">
        <v>44488.0</v>
      </c>
      <c r="N1814" s="1" t="s">
        <v>4927</v>
      </c>
    </row>
    <row r="1815" hidden="1">
      <c r="A1815" s="1" t="s">
        <v>202</v>
      </c>
      <c r="B1815" s="1" t="s">
        <v>25</v>
      </c>
      <c r="C1815" s="1" t="s">
        <v>3633</v>
      </c>
      <c r="D1815" s="1" t="str">
        <f>Vlookup(C1815,'Oil &amp; Gas Documents - Canada'!F:M,2,FALSE)</f>
        <v>#N/A</v>
      </c>
      <c r="E1815" s="1" t="str">
        <f>Vlookup(C1815,'Oil &amp; Gas Documents - Canada'!F:N,9,FALSE)</f>
        <v>#N/A</v>
      </c>
      <c r="F1815" s="1" t="s">
        <v>3634</v>
      </c>
      <c r="G1815" s="4" t="str">
        <f>HYPERLINK("http://nimonikapp.com/legislations/1097","http://nimonikapp.com/legislations/1097")</f>
        <v>http://nimonikapp.com/legislations/1097</v>
      </c>
      <c r="H1815" s="1" t="s">
        <v>18</v>
      </c>
      <c r="I1815" s="1" t="s">
        <v>4928</v>
      </c>
      <c r="J1815" s="1" t="s">
        <v>3636</v>
      </c>
      <c r="K1815" s="5">
        <v>44461.0</v>
      </c>
      <c r="L1815" s="5">
        <v>44642.0</v>
      </c>
      <c r="M1815" s="5">
        <v>44461.0</v>
      </c>
      <c r="N1815" s="1" t="s">
        <v>3637</v>
      </c>
    </row>
    <row r="1816" hidden="1">
      <c r="A1816" s="1" t="s">
        <v>70</v>
      </c>
      <c r="B1816" s="1" t="s">
        <v>352</v>
      </c>
      <c r="C1816" s="1" t="s">
        <v>4929</v>
      </c>
      <c r="D1816" s="1" t="str">
        <f>Vlookup(C1816,'Oil &amp; Gas Documents - Canada'!F:M,2,FALSE)</f>
        <v>#N/A</v>
      </c>
      <c r="E1816" s="1" t="str">
        <f>Vlookup(C1816,'Oil &amp; Gas Documents - Canada'!F:N,9,FALSE)</f>
        <v>#N/A</v>
      </c>
      <c r="F1816" s="1" t="s">
        <v>4930</v>
      </c>
      <c r="G1816" s="4" t="str">
        <f>HYPERLINK("http://nimonikapp.com/legislations/153773","http://nimonikapp.com/legislations/153773")</f>
        <v>http://nimonikapp.com/legislations/153773</v>
      </c>
      <c r="H1816" s="1" t="s">
        <v>356</v>
      </c>
      <c r="I1816" s="1" t="s">
        <v>4931</v>
      </c>
      <c r="J1816" s="1" t="s">
        <v>4932</v>
      </c>
      <c r="K1816" s="5">
        <v>44457.0</v>
      </c>
      <c r="L1816" s="5">
        <v>44620.0</v>
      </c>
      <c r="M1816" s="5">
        <v>44446.0</v>
      </c>
      <c r="N1816" s="1" t="s">
        <v>4933</v>
      </c>
    </row>
    <row r="1817" hidden="1">
      <c r="A1817" s="1" t="s">
        <v>73</v>
      </c>
      <c r="B1817" s="1" t="s">
        <v>25</v>
      </c>
      <c r="C1817" s="1" t="s">
        <v>1023</v>
      </c>
      <c r="D1817" s="1" t="str">
        <f>Vlookup(C1817,'Oil &amp; Gas Documents - Canada'!F:M,2,FALSE)</f>
        <v>#N/A</v>
      </c>
      <c r="E1817" s="1" t="str">
        <f>Vlookup(C1817,'Oil &amp; Gas Documents - Canada'!F:N,9,FALSE)</f>
        <v>#N/A</v>
      </c>
      <c r="F1817" s="1" t="s">
        <v>1024</v>
      </c>
      <c r="G1817" s="4" t="str">
        <f>HYPERLINK("http://nimonikapp.com/legislations/280724","http://nimonikapp.com/legislations/280724")</f>
        <v>http://nimonikapp.com/legislations/280724</v>
      </c>
      <c r="H1817" s="1" t="s">
        <v>18</v>
      </c>
      <c r="I1817" s="1" t="s">
        <v>4934</v>
      </c>
      <c r="J1817" s="1" t="s">
        <v>4935</v>
      </c>
      <c r="K1817" s="5">
        <v>44440.0</v>
      </c>
      <c r="L1817" s="5">
        <v>44593.0</v>
      </c>
      <c r="M1817" s="5">
        <v>44441.0</v>
      </c>
      <c r="N1817" s="1" t="s">
        <v>1027</v>
      </c>
    </row>
    <row r="1818" hidden="1">
      <c r="A1818" s="1" t="s">
        <v>221</v>
      </c>
      <c r="B1818" s="1" t="s">
        <v>25</v>
      </c>
      <c r="C1818" s="1" t="s">
        <v>2747</v>
      </c>
      <c r="D1818" s="1" t="str">
        <f>Vlookup(C1818,'Oil &amp; Gas Documents - Canada'!F:M,2,FALSE)</f>
        <v>#N/A</v>
      </c>
      <c r="E1818" s="1" t="str">
        <f>Vlookup(C1818,'Oil &amp; Gas Documents - Canada'!F:N,9,FALSE)</f>
        <v>#N/A</v>
      </c>
      <c r="F1818" s="1" t="s">
        <v>2748</v>
      </c>
      <c r="G1818" s="4" t="str">
        <f>HYPERLINK("http://nimonikapp.com/legislations/10640","http://nimonikapp.com/legislations/10640")</f>
        <v>http://nimonikapp.com/legislations/10640</v>
      </c>
      <c r="H1818" s="1" t="s">
        <v>18</v>
      </c>
      <c r="I1818" s="1" t="s">
        <v>4936</v>
      </c>
      <c r="J1818" s="1" t="s">
        <v>4937</v>
      </c>
      <c r="K1818" s="5">
        <v>44391.0</v>
      </c>
      <c r="L1818" s="5">
        <v>44562.0</v>
      </c>
      <c r="M1818" s="5">
        <v>44398.0</v>
      </c>
      <c r="N1818" s="1" t="s">
        <v>2751</v>
      </c>
    </row>
    <row r="1819" hidden="1">
      <c r="A1819" s="1" t="s">
        <v>21</v>
      </c>
      <c r="B1819" s="1" t="s">
        <v>25</v>
      </c>
      <c r="C1819" s="1" t="s">
        <v>2800</v>
      </c>
      <c r="D1819" s="1" t="str">
        <f>Vlookup(C1819,'Oil &amp; Gas Documents - Canada'!F:M,2,FALSE)</f>
        <v>#N/A</v>
      </c>
      <c r="E1819" s="1" t="str">
        <f>Vlookup(C1819,'Oil &amp; Gas Documents - Canada'!F:N,9,FALSE)</f>
        <v>#N/A</v>
      </c>
      <c r="F1819" s="1" t="s">
        <v>1131</v>
      </c>
      <c r="G1819" s="4" t="str">
        <f>HYPERLINK("http://nimonikapp.com/legislations/10311","http://nimonikapp.com/legislations/10311")</f>
        <v>http://nimonikapp.com/legislations/10311</v>
      </c>
      <c r="H1819" s="1" t="s">
        <v>18</v>
      </c>
      <c r="I1819" s="1" t="s">
        <v>4938</v>
      </c>
      <c r="J1819" s="1" t="s">
        <v>4939</v>
      </c>
      <c r="K1819" s="5">
        <v>44364.0</v>
      </c>
      <c r="L1819" s="5">
        <v>44658.0</v>
      </c>
      <c r="M1819" s="5">
        <v>44385.0</v>
      </c>
      <c r="N1819" s="1" t="s">
        <v>2803</v>
      </c>
    </row>
    <row r="1820" hidden="1">
      <c r="A1820" s="1" t="s">
        <v>14</v>
      </c>
      <c r="B1820" s="1" t="s">
        <v>364</v>
      </c>
      <c r="C1820" s="1" t="s">
        <v>4940</v>
      </c>
      <c r="D1820" s="1" t="str">
        <f>Vlookup(C1820,'Oil &amp; Gas Documents - Canada'!F:M,2,FALSE)</f>
        <v>#N/A</v>
      </c>
      <c r="E1820" s="1" t="str">
        <f>Vlookup(C1820,'Oil &amp; Gas Documents - Canada'!F:N,9,FALSE)</f>
        <v>#N/A</v>
      </c>
      <c r="F1820" s="1" t="s">
        <v>4941</v>
      </c>
      <c r="G1820" s="4" t="str">
        <f>HYPERLINK("http://nimonikapp.com/legislations/15270","http://nimonikapp.com/legislations/15270")</f>
        <v>http://nimonikapp.com/legislations/15270</v>
      </c>
      <c r="H1820" s="1" t="s">
        <v>356</v>
      </c>
      <c r="I1820" s="1" t="s">
        <v>4942</v>
      </c>
      <c r="J1820" s="1" t="s">
        <v>4943</v>
      </c>
      <c r="K1820" s="5">
        <v>44329.0</v>
      </c>
      <c r="L1820" s="5">
        <v>44562.0</v>
      </c>
      <c r="M1820" s="5">
        <v>44376.0</v>
      </c>
      <c r="N1820" s="1" t="s">
        <v>4944</v>
      </c>
    </row>
    <row r="1821" hidden="1">
      <c r="A1821" s="1" t="s">
        <v>21</v>
      </c>
      <c r="B1821" s="1" t="s">
        <v>25</v>
      </c>
      <c r="C1821" s="1" t="s">
        <v>4945</v>
      </c>
      <c r="D1821" s="1" t="str">
        <f>Vlookup(C1821,'Oil &amp; Gas Documents - Canada'!F:M,2,FALSE)</f>
        <v>#N/A</v>
      </c>
      <c r="E1821" s="1" t="str">
        <f>Vlookup(C1821,'Oil &amp; Gas Documents - Canada'!F:N,9,FALSE)</f>
        <v>#N/A</v>
      </c>
      <c r="F1821" s="1" t="s">
        <v>4946</v>
      </c>
      <c r="G1821" s="4" t="str">
        <f>HYPERLINK("http://nimonikapp.com/legislations/104366","http://nimonikapp.com/legislations/104366")</f>
        <v>http://nimonikapp.com/legislations/104366</v>
      </c>
      <c r="H1821" s="1" t="s">
        <v>18</v>
      </c>
      <c r="I1821" s="1" t="s">
        <v>4947</v>
      </c>
      <c r="J1821" s="1" t="s">
        <v>4948</v>
      </c>
      <c r="K1821" s="5">
        <v>44364.0</v>
      </c>
      <c r="L1821" s="5">
        <v>44762.0</v>
      </c>
      <c r="M1821" s="5">
        <v>44370.0</v>
      </c>
    </row>
    <row r="1822" hidden="1">
      <c r="A1822" s="1" t="s">
        <v>70</v>
      </c>
      <c r="B1822" s="1" t="s">
        <v>25</v>
      </c>
      <c r="C1822" s="1" t="s">
        <v>3112</v>
      </c>
      <c r="D1822" s="1" t="str">
        <f>Vlookup(C1822,'Oil &amp; Gas Documents - Canada'!F:M,2,FALSE)</f>
        <v>#N/A</v>
      </c>
      <c r="E1822" s="1" t="str">
        <f>Vlookup(C1822,'Oil &amp; Gas Documents - Canada'!F:N,9,FALSE)</f>
        <v>#N/A</v>
      </c>
      <c r="F1822" s="1" t="s">
        <v>1328</v>
      </c>
      <c r="G1822" s="4" t="str">
        <f>HYPERLINK("http://nimonikapp.com/legislations/416","http://nimonikapp.com/legislations/416")</f>
        <v>http://nimonikapp.com/legislations/416</v>
      </c>
      <c r="H1822" s="1" t="s">
        <v>18</v>
      </c>
      <c r="I1822" s="1" t="s">
        <v>3116</v>
      </c>
      <c r="J1822" s="1" t="s">
        <v>3117</v>
      </c>
      <c r="K1822" s="5">
        <v>44350.0</v>
      </c>
      <c r="L1822" s="5">
        <v>44743.0</v>
      </c>
      <c r="M1822" s="5">
        <v>44368.0</v>
      </c>
      <c r="N1822" s="1" t="s">
        <v>3115</v>
      </c>
    </row>
    <row r="1823" hidden="1">
      <c r="A1823" s="1" t="s">
        <v>221</v>
      </c>
      <c r="B1823" s="1" t="s">
        <v>25</v>
      </c>
      <c r="C1823" s="1" t="s">
        <v>4949</v>
      </c>
      <c r="D1823" s="1" t="str">
        <f>Vlookup(C1823,'Oil &amp; Gas Documents - Canada'!F:M,2,FALSE)</f>
        <v>#N/A</v>
      </c>
      <c r="E1823" s="1" t="str">
        <f>Vlookup(C1823,'Oil &amp; Gas Documents - Canada'!F:N,9,FALSE)</f>
        <v>#N/A</v>
      </c>
      <c r="F1823" s="1" t="s">
        <v>4950</v>
      </c>
      <c r="G1823" s="4" t="str">
        <f>HYPERLINK("http://nimonikapp.com/legislations/243","http://nimonikapp.com/legislations/243")</f>
        <v>http://nimonikapp.com/legislations/243</v>
      </c>
      <c r="H1823" s="1" t="s">
        <v>18</v>
      </c>
      <c r="I1823" s="1" t="s">
        <v>4951</v>
      </c>
      <c r="J1823" s="1" t="s">
        <v>4952</v>
      </c>
      <c r="K1823" s="5">
        <v>44336.0</v>
      </c>
      <c r="L1823" s="5">
        <v>44834.0</v>
      </c>
      <c r="M1823" s="5">
        <v>44354.0</v>
      </c>
    </row>
    <row r="1824" hidden="1">
      <c r="A1824" s="1" t="s">
        <v>221</v>
      </c>
      <c r="B1824" s="1" t="s">
        <v>25</v>
      </c>
      <c r="C1824" s="1" t="s">
        <v>2472</v>
      </c>
      <c r="D1824" s="1" t="str">
        <f>Vlookup(C1824,'Oil &amp; Gas Documents - Canada'!F:M,2,FALSE)</f>
        <v>#N/A</v>
      </c>
      <c r="E1824" s="1" t="str">
        <f>Vlookup(C1824,'Oil &amp; Gas Documents - Canada'!F:N,9,FALSE)</f>
        <v>#N/A</v>
      </c>
      <c r="F1824" s="1" t="s">
        <v>2473</v>
      </c>
      <c r="G1824" s="4" t="str">
        <f>HYPERLINK("http://nimonikapp.com/legislations/10637","http://nimonikapp.com/legislations/10637")</f>
        <v>http://nimonikapp.com/legislations/10637</v>
      </c>
      <c r="H1824" s="1" t="s">
        <v>18</v>
      </c>
      <c r="I1824" s="1" t="s">
        <v>4953</v>
      </c>
      <c r="J1824" s="1" t="s">
        <v>4954</v>
      </c>
      <c r="K1824" s="5">
        <v>44336.0</v>
      </c>
      <c r="L1824" s="5">
        <v>44743.0</v>
      </c>
      <c r="M1824" s="5">
        <v>44351.0</v>
      </c>
      <c r="N1824" s="1" t="s">
        <v>2476</v>
      </c>
    </row>
    <row r="1825" hidden="1">
      <c r="A1825" s="1" t="s">
        <v>221</v>
      </c>
      <c r="B1825" s="1" t="s">
        <v>25</v>
      </c>
      <c r="C1825" s="1" t="s">
        <v>2477</v>
      </c>
      <c r="D1825" s="1" t="str">
        <f>Vlookup(C1825,'Oil &amp; Gas Documents - Canada'!F:M,2,FALSE)</f>
        <v>#N/A</v>
      </c>
      <c r="E1825" s="1" t="str">
        <f>Vlookup(C1825,'Oil &amp; Gas Documents - Canada'!F:N,9,FALSE)</f>
        <v>#N/A</v>
      </c>
      <c r="F1825" s="1" t="s">
        <v>2478</v>
      </c>
      <c r="G1825" s="4" t="str">
        <f>HYPERLINK("http://nimonikapp.com/legislations/118522","http://nimonikapp.com/legislations/118522")</f>
        <v>http://nimonikapp.com/legislations/118522</v>
      </c>
      <c r="H1825" s="1" t="s">
        <v>18</v>
      </c>
      <c r="I1825" s="1" t="s">
        <v>4953</v>
      </c>
      <c r="J1825" s="1" t="s">
        <v>4954</v>
      </c>
      <c r="K1825" s="5">
        <v>44336.0</v>
      </c>
      <c r="L1825" s="5">
        <v>44743.0</v>
      </c>
      <c r="M1825" s="5">
        <v>44351.0</v>
      </c>
      <c r="N1825" s="1" t="s">
        <v>2479</v>
      </c>
    </row>
    <row r="1826" hidden="1">
      <c r="A1826" s="1" t="s">
        <v>221</v>
      </c>
      <c r="B1826" s="1" t="s">
        <v>25</v>
      </c>
      <c r="C1826" s="1" t="s">
        <v>4955</v>
      </c>
      <c r="D1826" s="1" t="str">
        <f>Vlookup(C1826,'Oil &amp; Gas Documents - Canada'!F:M,2,FALSE)</f>
        <v>#N/A</v>
      </c>
      <c r="E1826" s="1" t="str">
        <f>Vlookup(C1826,'Oil &amp; Gas Documents - Canada'!F:N,9,FALSE)</f>
        <v>#N/A</v>
      </c>
      <c r="F1826" s="1" t="s">
        <v>4956</v>
      </c>
      <c r="G1826" s="4" t="str">
        <f>HYPERLINK("http://nimonikapp.com/legislations/236","http://nimonikapp.com/legislations/236")</f>
        <v>http://nimonikapp.com/legislations/236</v>
      </c>
      <c r="H1826" s="1" t="s">
        <v>18</v>
      </c>
      <c r="I1826" s="1" t="s">
        <v>4953</v>
      </c>
      <c r="J1826" s="1" t="s">
        <v>4954</v>
      </c>
      <c r="K1826" s="5">
        <v>44336.0</v>
      </c>
      <c r="L1826" s="5">
        <v>44743.0</v>
      </c>
      <c r="M1826" s="5">
        <v>44351.0</v>
      </c>
      <c r="N1826" s="1" t="s">
        <v>4957</v>
      </c>
    </row>
    <row r="1827" hidden="1">
      <c r="A1827" s="1" t="s">
        <v>221</v>
      </c>
      <c r="B1827" s="1" t="s">
        <v>25</v>
      </c>
      <c r="C1827" s="1" t="s">
        <v>4958</v>
      </c>
      <c r="D1827" s="1" t="str">
        <f>Vlookup(C1827,'Oil &amp; Gas Documents - Canada'!F:M,2,FALSE)</f>
        <v>#N/A</v>
      </c>
      <c r="E1827" s="1" t="str">
        <f>Vlookup(C1827,'Oil &amp; Gas Documents - Canada'!F:N,9,FALSE)</f>
        <v>#N/A</v>
      </c>
      <c r="F1827" s="1" t="s">
        <v>4959</v>
      </c>
      <c r="G1827" s="4" t="str">
        <f>HYPERLINK("http://nimonikapp.com/legislations/118492","http://nimonikapp.com/legislations/118492")</f>
        <v>http://nimonikapp.com/legislations/118492</v>
      </c>
      <c r="H1827" s="1" t="s">
        <v>18</v>
      </c>
      <c r="I1827" s="1" t="s">
        <v>783</v>
      </c>
      <c r="J1827" s="1" t="s">
        <v>784</v>
      </c>
      <c r="K1827" s="5">
        <v>44336.0</v>
      </c>
      <c r="L1827" s="5">
        <v>44618.0</v>
      </c>
      <c r="M1827" s="5">
        <v>44351.0</v>
      </c>
    </row>
    <row r="1828" hidden="1">
      <c r="A1828" s="1" t="s">
        <v>221</v>
      </c>
      <c r="B1828" s="1" t="s">
        <v>25</v>
      </c>
      <c r="C1828" s="1" t="s">
        <v>4960</v>
      </c>
      <c r="D1828" s="1" t="str">
        <f>Vlookup(C1828,'Oil &amp; Gas Documents - Canada'!F:M,2,FALSE)</f>
        <v>#N/A</v>
      </c>
      <c r="E1828" s="1" t="str">
        <f>Vlookup(C1828,'Oil &amp; Gas Documents - Canada'!F:N,9,FALSE)</f>
        <v>#N/A</v>
      </c>
      <c r="F1828" s="1" t="s">
        <v>32</v>
      </c>
      <c r="G1828" s="4" t="str">
        <f>HYPERLINK("http://nimonikapp.com/legislations/255","http://nimonikapp.com/legislations/255")</f>
        <v>http://nimonikapp.com/legislations/255</v>
      </c>
      <c r="H1828" s="1" t="s">
        <v>18</v>
      </c>
      <c r="I1828" s="1" t="s">
        <v>783</v>
      </c>
      <c r="J1828" s="1" t="s">
        <v>784</v>
      </c>
      <c r="K1828" s="5">
        <v>44336.0</v>
      </c>
      <c r="L1828" s="5">
        <v>44618.0</v>
      </c>
      <c r="M1828" s="5">
        <v>44351.0</v>
      </c>
      <c r="N1828" s="1" t="s">
        <v>4961</v>
      </c>
    </row>
    <row r="1829" hidden="1">
      <c r="A1829" s="1" t="s">
        <v>221</v>
      </c>
      <c r="B1829" s="1" t="s">
        <v>25</v>
      </c>
      <c r="C1829" s="1" t="s">
        <v>4962</v>
      </c>
      <c r="D1829" s="1" t="str">
        <f>Vlookup(C1829,'Oil &amp; Gas Documents - Canada'!F:M,2,FALSE)</f>
        <v>#N/A</v>
      </c>
      <c r="E1829" s="1" t="str">
        <f>Vlookup(C1829,'Oil &amp; Gas Documents - Canada'!F:N,9,FALSE)</f>
        <v>#N/A</v>
      </c>
      <c r="F1829" s="1" t="s">
        <v>4963</v>
      </c>
      <c r="G1829" s="4" t="str">
        <f>HYPERLINK("http://nimonikapp.com/legislations/116364","http://nimonikapp.com/legislations/116364")</f>
        <v>http://nimonikapp.com/legislations/116364</v>
      </c>
      <c r="H1829" s="1" t="s">
        <v>18</v>
      </c>
      <c r="I1829" s="1" t="s">
        <v>783</v>
      </c>
      <c r="J1829" s="1" t="s">
        <v>784</v>
      </c>
      <c r="K1829" s="5">
        <v>44336.0</v>
      </c>
      <c r="L1829" s="5">
        <v>44618.0</v>
      </c>
      <c r="M1829" s="5">
        <v>44351.0</v>
      </c>
    </row>
    <row r="1830" hidden="1">
      <c r="A1830" s="1" t="s">
        <v>221</v>
      </c>
      <c r="B1830" s="1" t="s">
        <v>25</v>
      </c>
      <c r="C1830" s="1" t="s">
        <v>1365</v>
      </c>
      <c r="D1830" s="1" t="str">
        <f>Vlookup(C1830,'Oil &amp; Gas Documents - Canada'!F:M,2,FALSE)</f>
        <v>#N/A</v>
      </c>
      <c r="E1830" s="1" t="str">
        <f>Vlookup(C1830,'Oil &amp; Gas Documents - Canada'!F:N,9,FALSE)</f>
        <v>#N/A</v>
      </c>
      <c r="F1830" s="1" t="s">
        <v>1366</v>
      </c>
      <c r="G1830" s="4" t="str">
        <f>HYPERLINK("http://nimonikapp.com/legislations/117886","http://nimonikapp.com/legislations/117886")</f>
        <v>http://nimonikapp.com/legislations/117886</v>
      </c>
      <c r="H1830" s="1" t="s">
        <v>18</v>
      </c>
      <c r="I1830" s="1" t="s">
        <v>783</v>
      </c>
      <c r="J1830" s="1" t="s">
        <v>784</v>
      </c>
      <c r="K1830" s="5">
        <v>44336.0</v>
      </c>
      <c r="L1830" s="5">
        <v>44618.0</v>
      </c>
      <c r="M1830" s="5">
        <v>44351.0</v>
      </c>
      <c r="N1830" s="1" t="s">
        <v>1369</v>
      </c>
    </row>
    <row r="1831" hidden="1">
      <c r="A1831" s="1" t="s">
        <v>221</v>
      </c>
      <c r="B1831" s="1" t="s">
        <v>25</v>
      </c>
      <c r="C1831" s="1" t="s">
        <v>4964</v>
      </c>
      <c r="D1831" s="1" t="str">
        <f>Vlookup(C1831,'Oil &amp; Gas Documents - Canada'!F:M,2,FALSE)</f>
        <v>#N/A</v>
      </c>
      <c r="E1831" s="1" t="str">
        <f>Vlookup(C1831,'Oil &amp; Gas Documents - Canada'!F:N,9,FALSE)</f>
        <v>#N/A</v>
      </c>
      <c r="F1831" s="1" t="s">
        <v>4965</v>
      </c>
      <c r="G1831" s="4" t="str">
        <f>HYPERLINK("http://nimonikapp.com/legislations/250","http://nimonikapp.com/legislations/250")</f>
        <v>http://nimonikapp.com/legislations/250</v>
      </c>
      <c r="H1831" s="1" t="s">
        <v>18</v>
      </c>
      <c r="I1831" s="1" t="s">
        <v>783</v>
      </c>
      <c r="J1831" s="1" t="s">
        <v>784</v>
      </c>
      <c r="K1831" s="5">
        <v>44336.0</v>
      </c>
      <c r="L1831" s="5">
        <v>44618.0</v>
      </c>
      <c r="M1831" s="5">
        <v>44351.0</v>
      </c>
    </row>
    <row r="1832" hidden="1">
      <c r="A1832" s="1" t="s">
        <v>221</v>
      </c>
      <c r="B1832" s="1" t="s">
        <v>25</v>
      </c>
      <c r="C1832" s="1" t="s">
        <v>4966</v>
      </c>
      <c r="D1832" s="1" t="str">
        <f>Vlookup(C1832,'Oil &amp; Gas Documents - Canada'!F:M,2,FALSE)</f>
        <v>#N/A</v>
      </c>
      <c r="E1832" s="1" t="str">
        <f>Vlookup(C1832,'Oil &amp; Gas Documents - Canada'!F:N,9,FALSE)</f>
        <v>#N/A</v>
      </c>
      <c r="F1832" s="1" t="s">
        <v>4967</v>
      </c>
      <c r="G1832" s="4" t="str">
        <f>HYPERLINK("http://nimonikapp.com/legislations/244","http://nimonikapp.com/legislations/244")</f>
        <v>http://nimonikapp.com/legislations/244</v>
      </c>
      <c r="H1832" s="1" t="s">
        <v>18</v>
      </c>
      <c r="I1832" s="1" t="s">
        <v>783</v>
      </c>
      <c r="J1832" s="1" t="s">
        <v>784</v>
      </c>
      <c r="K1832" s="5">
        <v>44336.0</v>
      </c>
      <c r="L1832" s="5">
        <v>44618.0</v>
      </c>
      <c r="M1832" s="5">
        <v>44351.0</v>
      </c>
    </row>
    <row r="1833" hidden="1">
      <c r="A1833" s="1" t="s">
        <v>221</v>
      </c>
      <c r="B1833" s="1" t="s">
        <v>25</v>
      </c>
      <c r="C1833" s="1" t="s">
        <v>4968</v>
      </c>
      <c r="D1833" s="1" t="str">
        <f>Vlookup(C1833,'Oil &amp; Gas Documents - Canada'!F:M,2,FALSE)</f>
        <v>#N/A</v>
      </c>
      <c r="E1833" s="1" t="str">
        <f>Vlookup(C1833,'Oil &amp; Gas Documents - Canada'!F:N,9,FALSE)</f>
        <v>#N/A</v>
      </c>
      <c r="F1833" s="1" t="s">
        <v>4969</v>
      </c>
      <c r="G1833" s="4" t="str">
        <f>HYPERLINK("http://nimonikapp.com/legislations/107496","http://nimonikapp.com/legislations/107496")</f>
        <v>http://nimonikapp.com/legislations/107496</v>
      </c>
      <c r="H1833" s="1" t="s">
        <v>18</v>
      </c>
      <c r="I1833" s="1" t="s">
        <v>783</v>
      </c>
      <c r="J1833" s="1" t="s">
        <v>784</v>
      </c>
      <c r="K1833" s="5">
        <v>44336.0</v>
      </c>
      <c r="L1833" s="5">
        <v>44618.0</v>
      </c>
      <c r="M1833" s="5">
        <v>44351.0</v>
      </c>
    </row>
    <row r="1834" hidden="1">
      <c r="A1834" s="1" t="s">
        <v>221</v>
      </c>
      <c r="B1834" s="1" t="s">
        <v>25</v>
      </c>
      <c r="C1834" s="1" t="s">
        <v>4970</v>
      </c>
      <c r="D1834" s="1" t="str">
        <f>Vlookup(C1834,'Oil &amp; Gas Documents - Canada'!F:M,2,FALSE)</f>
        <v>#N/A</v>
      </c>
      <c r="E1834" s="1" t="str">
        <f>Vlookup(C1834,'Oil &amp; Gas Documents - Canada'!F:N,9,FALSE)</f>
        <v>#N/A</v>
      </c>
      <c r="F1834" s="1" t="s">
        <v>4971</v>
      </c>
      <c r="G1834" s="4" t="str">
        <f>HYPERLINK("http://nimonikapp.com/legislations/123239","http://nimonikapp.com/legislations/123239")</f>
        <v>http://nimonikapp.com/legislations/123239</v>
      </c>
      <c r="H1834" s="1" t="s">
        <v>18</v>
      </c>
      <c r="I1834" s="1" t="s">
        <v>783</v>
      </c>
      <c r="J1834" s="1" t="s">
        <v>784</v>
      </c>
      <c r="K1834" s="5">
        <v>44336.0</v>
      </c>
      <c r="L1834" s="5">
        <v>44618.0</v>
      </c>
      <c r="M1834" s="5">
        <v>44351.0</v>
      </c>
      <c r="N1834" s="1" t="s">
        <v>4972</v>
      </c>
    </row>
    <row r="1835" hidden="1">
      <c r="A1835" s="1" t="s">
        <v>221</v>
      </c>
      <c r="B1835" s="1" t="s">
        <v>25</v>
      </c>
      <c r="C1835" s="1" t="s">
        <v>4973</v>
      </c>
      <c r="D1835" s="1" t="str">
        <f>Vlookup(C1835,'Oil &amp; Gas Documents - Canada'!F:M,2,FALSE)</f>
        <v>#N/A</v>
      </c>
      <c r="E1835" s="1" t="str">
        <f>Vlookup(C1835,'Oil &amp; Gas Documents - Canada'!F:N,9,FALSE)</f>
        <v>#N/A</v>
      </c>
      <c r="F1835" s="1" t="s">
        <v>4974</v>
      </c>
      <c r="G1835" s="4" t="str">
        <f>HYPERLINK("http://nimonikapp.com/legislations/252","http://nimonikapp.com/legislations/252")</f>
        <v>http://nimonikapp.com/legislations/252</v>
      </c>
      <c r="H1835" s="1" t="s">
        <v>18</v>
      </c>
      <c r="I1835" s="1" t="s">
        <v>783</v>
      </c>
      <c r="J1835" s="1" t="s">
        <v>784</v>
      </c>
      <c r="K1835" s="5">
        <v>44336.0</v>
      </c>
      <c r="L1835" s="5">
        <v>44618.0</v>
      </c>
      <c r="M1835" s="5">
        <v>44351.0</v>
      </c>
    </row>
    <row r="1836" hidden="1">
      <c r="A1836" s="1" t="s">
        <v>221</v>
      </c>
      <c r="B1836" s="1" t="s">
        <v>25</v>
      </c>
      <c r="C1836" s="1" t="s">
        <v>4975</v>
      </c>
      <c r="D1836" s="1" t="str">
        <f>Vlookup(C1836,'Oil &amp; Gas Documents - Canada'!F:M,2,FALSE)</f>
        <v>#N/A</v>
      </c>
      <c r="E1836" s="1" t="str">
        <f>Vlookup(C1836,'Oil &amp; Gas Documents - Canada'!F:N,9,FALSE)</f>
        <v>#N/A</v>
      </c>
      <c r="F1836" s="1" t="s">
        <v>4976</v>
      </c>
      <c r="G1836" s="4" t="str">
        <f>HYPERLINK("http://nimonikapp.com/legislations/4477","http://nimonikapp.com/legislations/4477")</f>
        <v>http://nimonikapp.com/legislations/4477</v>
      </c>
      <c r="H1836" s="1" t="s">
        <v>18</v>
      </c>
      <c r="I1836" s="1" t="s">
        <v>783</v>
      </c>
      <c r="J1836" s="1" t="s">
        <v>784</v>
      </c>
      <c r="K1836" s="5">
        <v>44336.0</v>
      </c>
      <c r="L1836" s="5">
        <v>44618.0</v>
      </c>
      <c r="M1836" s="5">
        <v>44351.0</v>
      </c>
      <c r="N1836" s="1" t="s">
        <v>4972</v>
      </c>
    </row>
    <row r="1837" hidden="1">
      <c r="A1837" s="1" t="s">
        <v>221</v>
      </c>
      <c r="B1837" s="1" t="s">
        <v>25</v>
      </c>
      <c r="C1837" s="1" t="s">
        <v>4977</v>
      </c>
      <c r="D1837" s="1" t="str">
        <f>Vlookup(C1837,'Oil &amp; Gas Documents - Canada'!F:M,2,FALSE)</f>
        <v>#N/A</v>
      </c>
      <c r="E1837" s="1" t="str">
        <f>Vlookup(C1837,'Oil &amp; Gas Documents - Canada'!F:N,9,FALSE)</f>
        <v>#N/A</v>
      </c>
      <c r="F1837" s="1" t="s">
        <v>4978</v>
      </c>
      <c r="G1837" s="4" t="str">
        <f>HYPERLINK("http://nimonikapp.com/legislations/247","http://nimonikapp.com/legislations/247")</f>
        <v>http://nimonikapp.com/legislations/247</v>
      </c>
      <c r="H1837" s="1" t="s">
        <v>18</v>
      </c>
      <c r="I1837" s="1" t="s">
        <v>783</v>
      </c>
      <c r="J1837" s="1" t="s">
        <v>784</v>
      </c>
      <c r="K1837" s="5">
        <v>44336.0</v>
      </c>
      <c r="L1837" s="5">
        <v>44618.0</v>
      </c>
      <c r="M1837" s="5">
        <v>44351.0</v>
      </c>
    </row>
    <row r="1838" hidden="1">
      <c r="A1838" s="1" t="s">
        <v>221</v>
      </c>
      <c r="B1838" s="1" t="s">
        <v>25</v>
      </c>
      <c r="C1838" s="1" t="s">
        <v>4979</v>
      </c>
      <c r="D1838" s="1" t="str">
        <f>Vlookup(C1838,'Oil &amp; Gas Documents - Canada'!F:M,2,FALSE)</f>
        <v>#N/A</v>
      </c>
      <c r="E1838" s="1" t="str">
        <f>Vlookup(C1838,'Oil &amp; Gas Documents - Canada'!F:N,9,FALSE)</f>
        <v>#N/A</v>
      </c>
      <c r="F1838" s="1" t="s">
        <v>4980</v>
      </c>
      <c r="G1838" s="4" t="str">
        <f>HYPERLINK("http://nimonikapp.com/legislations/118487","http://nimonikapp.com/legislations/118487")</f>
        <v>http://nimonikapp.com/legislations/118487</v>
      </c>
      <c r="H1838" s="1" t="s">
        <v>18</v>
      </c>
      <c r="I1838" s="1" t="s">
        <v>783</v>
      </c>
      <c r="J1838" s="1" t="s">
        <v>784</v>
      </c>
      <c r="K1838" s="5">
        <v>44336.0</v>
      </c>
      <c r="L1838" s="5">
        <v>44618.0</v>
      </c>
      <c r="M1838" s="5">
        <v>44351.0</v>
      </c>
    </row>
    <row r="1839" hidden="1">
      <c r="A1839" s="1" t="s">
        <v>221</v>
      </c>
      <c r="B1839" s="1" t="s">
        <v>25</v>
      </c>
      <c r="C1839" s="1" t="s">
        <v>4218</v>
      </c>
      <c r="D1839" s="1" t="str">
        <f>Vlookup(C1839,'Oil &amp; Gas Documents - Canada'!F:M,2,FALSE)</f>
        <v>#N/A</v>
      </c>
      <c r="E1839" s="1" t="str">
        <f>Vlookup(C1839,'Oil &amp; Gas Documents - Canada'!F:N,9,FALSE)</f>
        <v>#N/A</v>
      </c>
      <c r="F1839" s="1" t="s">
        <v>4219</v>
      </c>
      <c r="G1839" s="4" t="str">
        <f>HYPERLINK("http://nimonikapp.com/legislations/257","http://nimonikapp.com/legislations/257")</f>
        <v>http://nimonikapp.com/legislations/257</v>
      </c>
      <c r="H1839" s="1" t="s">
        <v>18</v>
      </c>
      <c r="I1839" s="1" t="s">
        <v>783</v>
      </c>
      <c r="J1839" s="1" t="s">
        <v>784</v>
      </c>
      <c r="K1839" s="5">
        <v>44336.0</v>
      </c>
      <c r="L1839" s="5">
        <v>44618.0</v>
      </c>
      <c r="M1839" s="5">
        <v>44351.0</v>
      </c>
    </row>
    <row r="1840" hidden="1">
      <c r="A1840" s="1" t="s">
        <v>221</v>
      </c>
      <c r="B1840" s="1" t="s">
        <v>25</v>
      </c>
      <c r="C1840" s="1" t="s">
        <v>2754</v>
      </c>
      <c r="D1840" s="1" t="str">
        <f>Vlookup(C1840,'Oil &amp; Gas Documents - Canada'!F:M,2,FALSE)</f>
        <v>#N/A</v>
      </c>
      <c r="E1840" s="1" t="str">
        <f>Vlookup(C1840,'Oil &amp; Gas Documents - Canada'!F:N,9,FALSE)</f>
        <v>#N/A</v>
      </c>
      <c r="F1840" s="1" t="s">
        <v>2755</v>
      </c>
      <c r="G1840" s="4" t="str">
        <f>HYPERLINK("http://nimonikapp.com/legislations/256","http://nimonikapp.com/legislations/256")</f>
        <v>http://nimonikapp.com/legislations/256</v>
      </c>
      <c r="H1840" s="1" t="s">
        <v>18</v>
      </c>
      <c r="I1840" s="1" t="s">
        <v>783</v>
      </c>
      <c r="J1840" s="1" t="s">
        <v>784</v>
      </c>
      <c r="K1840" s="5">
        <v>44336.0</v>
      </c>
      <c r="L1840" s="5">
        <v>44618.0</v>
      </c>
      <c r="M1840" s="5">
        <v>44351.0</v>
      </c>
      <c r="N1840" s="1" t="s">
        <v>2758</v>
      </c>
    </row>
    <row r="1841" hidden="1">
      <c r="A1841" s="1" t="s">
        <v>221</v>
      </c>
      <c r="B1841" s="1" t="s">
        <v>25</v>
      </c>
      <c r="C1841" s="1" t="s">
        <v>2472</v>
      </c>
      <c r="D1841" s="1" t="str">
        <f>Vlookup(C1841,'Oil &amp; Gas Documents - Canada'!F:M,2,FALSE)</f>
        <v>#N/A</v>
      </c>
      <c r="E1841" s="1" t="str">
        <f>Vlookup(C1841,'Oil &amp; Gas Documents - Canada'!F:N,9,FALSE)</f>
        <v>#N/A</v>
      </c>
      <c r="F1841" s="1" t="s">
        <v>2473</v>
      </c>
      <c r="G1841" s="4" t="str">
        <f>HYPERLINK("http://nimonikapp.com/legislations/10637","http://nimonikapp.com/legislations/10637")</f>
        <v>http://nimonikapp.com/legislations/10637</v>
      </c>
      <c r="H1841" s="1" t="s">
        <v>18</v>
      </c>
      <c r="I1841" s="1" t="s">
        <v>783</v>
      </c>
      <c r="J1841" s="1" t="s">
        <v>784</v>
      </c>
      <c r="K1841" s="5">
        <v>44336.0</v>
      </c>
      <c r="L1841" s="5">
        <v>44618.0</v>
      </c>
      <c r="M1841" s="5">
        <v>44351.0</v>
      </c>
      <c r="N1841" s="1" t="s">
        <v>2476</v>
      </c>
    </row>
    <row r="1842">
      <c r="A1842" s="1" t="s">
        <v>221</v>
      </c>
      <c r="B1842" s="1" t="s">
        <v>25</v>
      </c>
      <c r="C1842" s="1" t="s">
        <v>686</v>
      </c>
      <c r="D1842" s="1" t="str">
        <f>Vlookup(C1842,'Oil &amp; Gas Documents - Canada'!F:M,2,FALSE)</f>
        <v>oil_and_gas</v>
      </c>
      <c r="E1842" s="1" t="str">
        <f>Vlookup(C1842,'Oil &amp; Gas Documents - Canada'!F:N,9,FALSE)</f>
        <v/>
      </c>
      <c r="F1842" s="1" t="s">
        <v>685</v>
      </c>
      <c r="G1842" s="4" t="str">
        <f>HYPERLINK("http://nimonikapp.com/legislations/116981","http://nimonikapp.com/legislations/116981")</f>
        <v>http://nimonikapp.com/legislations/116981</v>
      </c>
      <c r="H1842" s="1" t="s">
        <v>18</v>
      </c>
      <c r="I1842" s="1" t="s">
        <v>783</v>
      </c>
      <c r="J1842" s="1" t="s">
        <v>784</v>
      </c>
      <c r="K1842" s="5">
        <v>44336.0</v>
      </c>
      <c r="L1842" s="5">
        <v>44618.0</v>
      </c>
      <c r="M1842" s="5">
        <v>44351.0</v>
      </c>
    </row>
    <row r="1843" hidden="1">
      <c r="A1843" s="1" t="s">
        <v>221</v>
      </c>
      <c r="B1843" s="1" t="s">
        <v>25</v>
      </c>
      <c r="C1843" s="1" t="s">
        <v>4220</v>
      </c>
      <c r="D1843" s="1" t="str">
        <f>Vlookup(C1843,'Oil &amp; Gas Documents - Canada'!F:M,2,FALSE)</f>
        <v>#N/A</v>
      </c>
      <c r="E1843" s="1" t="str">
        <f>Vlookup(C1843,'Oil &amp; Gas Documents - Canada'!F:N,9,FALSE)</f>
        <v>#N/A</v>
      </c>
      <c r="F1843" s="1" t="s">
        <v>4000</v>
      </c>
      <c r="G1843" s="4" t="str">
        <f>HYPERLINK("http://nimonikapp.com/legislations/246","http://nimonikapp.com/legislations/246")</f>
        <v>http://nimonikapp.com/legislations/246</v>
      </c>
      <c r="H1843" s="1" t="s">
        <v>18</v>
      </c>
      <c r="I1843" s="1" t="s">
        <v>783</v>
      </c>
      <c r="J1843" s="1" t="s">
        <v>784</v>
      </c>
      <c r="K1843" s="5">
        <v>44336.0</v>
      </c>
      <c r="L1843" s="5">
        <v>44618.0</v>
      </c>
      <c r="M1843" s="5">
        <v>44351.0</v>
      </c>
      <c r="N1843" s="1" t="s">
        <v>4217</v>
      </c>
    </row>
    <row r="1844" hidden="1">
      <c r="A1844" s="1" t="s">
        <v>221</v>
      </c>
      <c r="B1844" s="1" t="s">
        <v>25</v>
      </c>
      <c r="C1844" s="1" t="s">
        <v>2762</v>
      </c>
      <c r="D1844" s="1" t="str">
        <f>Vlookup(C1844,'Oil &amp; Gas Documents - Canada'!F:M,2,FALSE)</f>
        <v>#N/A</v>
      </c>
      <c r="E1844" s="1" t="str">
        <f>Vlookup(C1844,'Oil &amp; Gas Documents - Canada'!F:N,9,FALSE)</f>
        <v>#N/A</v>
      </c>
      <c r="F1844" s="1" t="s">
        <v>2763</v>
      </c>
      <c r="G1844" s="4" t="str">
        <f>HYPERLINK("http://nimonikapp.com/legislations/110760","http://nimonikapp.com/legislations/110760")</f>
        <v>http://nimonikapp.com/legislations/110760</v>
      </c>
      <c r="H1844" s="1" t="s">
        <v>18</v>
      </c>
      <c r="I1844" s="1" t="s">
        <v>783</v>
      </c>
      <c r="J1844" s="1" t="s">
        <v>784</v>
      </c>
      <c r="K1844" s="5">
        <v>44336.0</v>
      </c>
      <c r="L1844" s="5">
        <v>44618.0</v>
      </c>
      <c r="M1844" s="5">
        <v>44351.0</v>
      </c>
      <c r="N1844" s="1" t="s">
        <v>2766</v>
      </c>
    </row>
    <row r="1845" hidden="1">
      <c r="A1845" s="1" t="s">
        <v>221</v>
      </c>
      <c r="B1845" s="1" t="s">
        <v>25</v>
      </c>
      <c r="C1845" s="1" t="s">
        <v>1374</v>
      </c>
      <c r="D1845" s="1" t="str">
        <f>Vlookup(C1845,'Oil &amp; Gas Documents - Canada'!F:M,2,FALSE)</f>
        <v>#N/A</v>
      </c>
      <c r="E1845" s="1" t="str">
        <f>Vlookup(C1845,'Oil &amp; Gas Documents - Canada'!F:N,9,FALSE)</f>
        <v>#N/A</v>
      </c>
      <c r="F1845" s="1" t="s">
        <v>1375</v>
      </c>
      <c r="G1845" s="4" t="str">
        <f>HYPERLINK("http://nimonikapp.com/legislations/14929","http://nimonikapp.com/legislations/14929")</f>
        <v>http://nimonikapp.com/legislations/14929</v>
      </c>
      <c r="H1845" s="1" t="s">
        <v>18</v>
      </c>
      <c r="I1845" s="1" t="s">
        <v>783</v>
      </c>
      <c r="J1845" s="1" t="s">
        <v>784</v>
      </c>
      <c r="K1845" s="5">
        <v>44336.0</v>
      </c>
      <c r="L1845" s="5">
        <v>44618.0</v>
      </c>
      <c r="M1845" s="5">
        <v>44351.0</v>
      </c>
      <c r="N1845" s="1" t="s">
        <v>1378</v>
      </c>
    </row>
    <row r="1846" hidden="1">
      <c r="A1846" s="1" t="s">
        <v>221</v>
      </c>
      <c r="B1846" s="1" t="s">
        <v>25</v>
      </c>
      <c r="C1846" s="1" t="s">
        <v>4221</v>
      </c>
      <c r="D1846" s="1" t="str">
        <f>Vlookup(C1846,'Oil &amp; Gas Documents - Canada'!F:M,2,FALSE)</f>
        <v>#N/A</v>
      </c>
      <c r="E1846" s="1" t="str">
        <f>Vlookup(C1846,'Oil &amp; Gas Documents - Canada'!F:N,9,FALSE)</f>
        <v>#N/A</v>
      </c>
      <c r="F1846" s="1" t="s">
        <v>4222</v>
      </c>
      <c r="G1846" s="4" t="str">
        <f>HYPERLINK("http://nimonikapp.com/legislations/10611","http://nimonikapp.com/legislations/10611")</f>
        <v>http://nimonikapp.com/legislations/10611</v>
      </c>
      <c r="H1846" s="1" t="s">
        <v>18</v>
      </c>
      <c r="I1846" s="1" t="s">
        <v>783</v>
      </c>
      <c r="J1846" s="1" t="s">
        <v>784</v>
      </c>
      <c r="K1846" s="5">
        <v>44336.0</v>
      </c>
      <c r="L1846" s="5">
        <v>44618.0</v>
      </c>
      <c r="M1846" s="5">
        <v>44351.0</v>
      </c>
      <c r="N1846" s="1" t="s">
        <v>4217</v>
      </c>
    </row>
    <row r="1847" hidden="1">
      <c r="A1847" s="1" t="s">
        <v>221</v>
      </c>
      <c r="B1847" s="1" t="s">
        <v>25</v>
      </c>
      <c r="C1847" s="1" t="s">
        <v>2747</v>
      </c>
      <c r="D1847" s="1" t="str">
        <f>Vlookup(C1847,'Oil &amp; Gas Documents - Canada'!F:M,2,FALSE)</f>
        <v>#N/A</v>
      </c>
      <c r="E1847" s="1" t="str">
        <f>Vlookup(C1847,'Oil &amp; Gas Documents - Canada'!F:N,9,FALSE)</f>
        <v>#N/A</v>
      </c>
      <c r="F1847" s="1" t="s">
        <v>2748</v>
      </c>
      <c r="G1847" s="4" t="str">
        <f>HYPERLINK("http://nimonikapp.com/legislations/10640","http://nimonikapp.com/legislations/10640")</f>
        <v>http://nimonikapp.com/legislations/10640</v>
      </c>
      <c r="H1847" s="1" t="s">
        <v>18</v>
      </c>
      <c r="I1847" s="1" t="s">
        <v>783</v>
      </c>
      <c r="J1847" s="1" t="s">
        <v>784</v>
      </c>
      <c r="K1847" s="5">
        <v>44336.0</v>
      </c>
      <c r="L1847" s="5">
        <v>44618.0</v>
      </c>
      <c r="M1847" s="5">
        <v>44351.0</v>
      </c>
      <c r="N1847" s="1" t="s">
        <v>2751</v>
      </c>
    </row>
    <row r="1848" hidden="1">
      <c r="A1848" s="1" t="s">
        <v>221</v>
      </c>
      <c r="B1848" s="1" t="s">
        <v>25</v>
      </c>
      <c r="C1848" s="1" t="s">
        <v>2759</v>
      </c>
      <c r="D1848" s="1" t="str">
        <f>Vlookup(C1848,'Oil &amp; Gas Documents - Canada'!F:M,2,FALSE)</f>
        <v>#N/A</v>
      </c>
      <c r="E1848" s="1" t="str">
        <f>Vlookup(C1848,'Oil &amp; Gas Documents - Canada'!F:N,9,FALSE)</f>
        <v>#N/A</v>
      </c>
      <c r="F1848" s="1" t="s">
        <v>2760</v>
      </c>
      <c r="G1848" s="4" t="str">
        <f>HYPERLINK("http://nimonikapp.com/legislations/239","http://nimonikapp.com/legislations/239")</f>
        <v>http://nimonikapp.com/legislations/239</v>
      </c>
      <c r="H1848" s="1" t="s">
        <v>18</v>
      </c>
      <c r="I1848" s="1" t="s">
        <v>783</v>
      </c>
      <c r="J1848" s="1" t="s">
        <v>784</v>
      </c>
      <c r="K1848" s="5">
        <v>44336.0</v>
      </c>
      <c r="L1848" s="5">
        <v>44618.0</v>
      </c>
      <c r="M1848" s="5">
        <v>44351.0</v>
      </c>
      <c r="N1848" s="1" t="s">
        <v>2761</v>
      </c>
    </row>
    <row r="1849" hidden="1">
      <c r="A1849" s="1" t="s">
        <v>221</v>
      </c>
      <c r="B1849" s="1" t="s">
        <v>25</v>
      </c>
      <c r="C1849" s="1" t="s">
        <v>4215</v>
      </c>
      <c r="D1849" s="1" t="str">
        <f>Vlookup(C1849,'Oil &amp; Gas Documents - Canada'!F:M,2,FALSE)</f>
        <v>#N/A</v>
      </c>
      <c r="E1849" s="1" t="str">
        <f>Vlookup(C1849,'Oil &amp; Gas Documents - Canada'!F:N,9,FALSE)</f>
        <v>#N/A</v>
      </c>
      <c r="F1849" s="1" t="s">
        <v>4216</v>
      </c>
      <c r="G1849" s="4" t="str">
        <f>HYPERLINK("http://nimonikapp.com/legislations/234","http://nimonikapp.com/legislations/234")</f>
        <v>http://nimonikapp.com/legislations/234</v>
      </c>
      <c r="H1849" s="1" t="s">
        <v>18</v>
      </c>
      <c r="I1849" s="1" t="s">
        <v>783</v>
      </c>
      <c r="J1849" s="1" t="s">
        <v>784</v>
      </c>
      <c r="K1849" s="5">
        <v>44336.0</v>
      </c>
      <c r="L1849" s="5">
        <v>44618.0</v>
      </c>
      <c r="M1849" s="5">
        <v>44351.0</v>
      </c>
      <c r="N1849" s="1" t="s">
        <v>4217</v>
      </c>
    </row>
    <row r="1850" hidden="1">
      <c r="A1850" s="1" t="s">
        <v>221</v>
      </c>
      <c r="B1850" s="1" t="s">
        <v>25</v>
      </c>
      <c r="C1850" s="1" t="s">
        <v>2754</v>
      </c>
      <c r="D1850" s="1" t="str">
        <f>Vlookup(C1850,'Oil &amp; Gas Documents - Canada'!F:M,2,FALSE)</f>
        <v>#N/A</v>
      </c>
      <c r="E1850" s="1" t="str">
        <f>Vlookup(C1850,'Oil &amp; Gas Documents - Canada'!F:N,9,FALSE)</f>
        <v>#N/A</v>
      </c>
      <c r="F1850" s="1" t="s">
        <v>2755</v>
      </c>
      <c r="G1850" s="4" t="str">
        <f>HYPERLINK("http://nimonikapp.com/legislations/256","http://nimonikapp.com/legislations/256")</f>
        <v>http://nimonikapp.com/legislations/256</v>
      </c>
      <c r="H1850" s="1" t="s">
        <v>18</v>
      </c>
      <c r="I1850" s="1" t="s">
        <v>4981</v>
      </c>
      <c r="J1850" s="1" t="s">
        <v>4982</v>
      </c>
      <c r="K1850" s="5">
        <v>44336.0</v>
      </c>
      <c r="L1850" s="5">
        <v>44562.0</v>
      </c>
      <c r="M1850" s="5">
        <v>44351.0</v>
      </c>
      <c r="N1850" s="1" t="s">
        <v>2758</v>
      </c>
    </row>
    <row r="1851" hidden="1">
      <c r="A1851" s="1" t="s">
        <v>221</v>
      </c>
      <c r="B1851" s="1" t="s">
        <v>25</v>
      </c>
      <c r="C1851" s="1" t="s">
        <v>1365</v>
      </c>
      <c r="D1851" s="1" t="str">
        <f>Vlookup(C1851,'Oil &amp; Gas Documents - Canada'!F:M,2,FALSE)</f>
        <v>#N/A</v>
      </c>
      <c r="E1851" s="1" t="str">
        <f>Vlookup(C1851,'Oil &amp; Gas Documents - Canada'!F:N,9,FALSE)</f>
        <v>#N/A</v>
      </c>
      <c r="F1851" s="1" t="s">
        <v>1366</v>
      </c>
      <c r="G1851" s="4" t="str">
        <f>HYPERLINK("http://nimonikapp.com/legislations/117886","http://nimonikapp.com/legislations/117886")</f>
        <v>http://nimonikapp.com/legislations/117886</v>
      </c>
      <c r="H1851" s="1" t="s">
        <v>18</v>
      </c>
      <c r="I1851" s="1" t="s">
        <v>4981</v>
      </c>
      <c r="J1851" s="1" t="s">
        <v>4982</v>
      </c>
      <c r="K1851" s="5">
        <v>44336.0</v>
      </c>
      <c r="L1851" s="5">
        <v>44562.0</v>
      </c>
      <c r="M1851" s="5">
        <v>44351.0</v>
      </c>
      <c r="N1851" s="1" t="s">
        <v>1369</v>
      </c>
    </row>
    <row r="1852" hidden="1">
      <c r="A1852" s="1" t="s">
        <v>221</v>
      </c>
      <c r="B1852" s="1" t="s">
        <v>25</v>
      </c>
      <c r="C1852" s="1" t="s">
        <v>4983</v>
      </c>
      <c r="D1852" s="1" t="str">
        <f>Vlookup(C1852,'Oil &amp; Gas Documents - Canada'!F:M,2,FALSE)</f>
        <v>#N/A</v>
      </c>
      <c r="E1852" s="1" t="str">
        <f>Vlookup(C1852,'Oil &amp; Gas Documents - Canada'!F:N,9,FALSE)</f>
        <v>#N/A</v>
      </c>
      <c r="F1852" s="1" t="s">
        <v>4984</v>
      </c>
      <c r="G1852" s="4" t="str">
        <f>HYPERLINK("http://nimonikapp.com/legislations/118488","http://nimonikapp.com/legislations/118488")</f>
        <v>http://nimonikapp.com/legislations/118488</v>
      </c>
      <c r="H1852" s="1" t="s">
        <v>18</v>
      </c>
      <c r="I1852" s="1" t="s">
        <v>4985</v>
      </c>
      <c r="J1852" s="1" t="s">
        <v>4986</v>
      </c>
      <c r="K1852" s="5">
        <v>44336.0</v>
      </c>
      <c r="L1852" s="5">
        <v>44562.0</v>
      </c>
      <c r="M1852" s="5">
        <v>44351.0</v>
      </c>
    </row>
    <row r="1853">
      <c r="A1853" s="1" t="s">
        <v>21</v>
      </c>
      <c r="B1853" s="1" t="s">
        <v>364</v>
      </c>
      <c r="C1853" s="1" t="s">
        <v>786</v>
      </c>
      <c r="D1853" s="1" t="str">
        <f>Vlookup(C1853,'Oil &amp; Gas Documents - Canada'!F:M,2,FALSE)</f>
        <v>general, oil_and_gas, mining_and_minerals_industry</v>
      </c>
      <c r="E1853" s="1" t="str">
        <f>Vlookup(C1853,'Oil &amp; Gas Documents - Canada'!F:N,9,FALSE)</f>
        <v/>
      </c>
      <c r="F1853" s="1" t="s">
        <v>785</v>
      </c>
      <c r="G1853" s="4" t="str">
        <f>HYPERLINK("http://nimonikapp.com/legislations/4107","http://nimonikapp.com/legislations/4107")</f>
        <v>http://nimonikapp.com/legislations/4107</v>
      </c>
      <c r="H1853" s="1" t="s">
        <v>356</v>
      </c>
      <c r="I1853" s="1" t="s">
        <v>787</v>
      </c>
      <c r="J1853" s="1" t="s">
        <v>785</v>
      </c>
      <c r="K1853" s="5">
        <v>44293.0</v>
      </c>
      <c r="L1853" s="5">
        <v>44562.0</v>
      </c>
      <c r="M1853" s="5">
        <v>44350.0</v>
      </c>
    </row>
    <row r="1854" hidden="1">
      <c r="A1854" s="1" t="s">
        <v>486</v>
      </c>
      <c r="B1854" s="1" t="s">
        <v>25</v>
      </c>
      <c r="C1854" s="1" t="s">
        <v>3052</v>
      </c>
      <c r="D1854" s="1" t="str">
        <f>Vlookup(C1854,'Oil &amp; Gas Documents - Canada'!F:M,2,FALSE)</f>
        <v>#N/A</v>
      </c>
      <c r="E1854" s="1" t="str">
        <f>Vlookup(C1854,'Oil &amp; Gas Documents - Canada'!F:N,9,FALSE)</f>
        <v>#N/A</v>
      </c>
      <c r="F1854" s="1" t="s">
        <v>1328</v>
      </c>
      <c r="G1854" s="4" t="str">
        <f>HYPERLINK("http://nimonikapp.com/legislations/117379","http://nimonikapp.com/legislations/117379")</f>
        <v>http://nimonikapp.com/legislations/117379</v>
      </c>
      <c r="H1854" s="1" t="s">
        <v>18</v>
      </c>
      <c r="I1854" s="1" t="s">
        <v>4987</v>
      </c>
      <c r="J1854" s="1" t="s">
        <v>4988</v>
      </c>
      <c r="K1854" s="5">
        <v>44329.0</v>
      </c>
      <c r="L1854" s="5">
        <v>44651.0</v>
      </c>
      <c r="M1854" s="5">
        <v>44342.0</v>
      </c>
      <c r="N1854" s="1" t="s">
        <v>3055</v>
      </c>
    </row>
    <row r="1855" hidden="1">
      <c r="A1855" s="1" t="s">
        <v>70</v>
      </c>
      <c r="B1855" s="1" t="s">
        <v>25</v>
      </c>
      <c r="C1855" s="1" t="s">
        <v>3112</v>
      </c>
      <c r="D1855" s="1" t="str">
        <f>Vlookup(C1855,'Oil &amp; Gas Documents - Canada'!F:M,2,FALSE)</f>
        <v>#N/A</v>
      </c>
      <c r="E1855" s="1" t="str">
        <f>Vlookup(C1855,'Oil &amp; Gas Documents - Canada'!F:N,9,FALSE)</f>
        <v>#N/A</v>
      </c>
      <c r="F1855" s="1" t="s">
        <v>1328</v>
      </c>
      <c r="G1855" s="4" t="str">
        <f>HYPERLINK("http://nimonikapp.com/legislations/416","http://nimonikapp.com/legislations/416")</f>
        <v>http://nimonikapp.com/legislations/416</v>
      </c>
      <c r="H1855" s="1" t="s">
        <v>18</v>
      </c>
      <c r="I1855" s="1" t="s">
        <v>4989</v>
      </c>
      <c r="J1855" s="1" t="s">
        <v>4990</v>
      </c>
      <c r="K1855" s="5">
        <v>44328.0</v>
      </c>
      <c r="L1855" s="5">
        <v>44743.0</v>
      </c>
      <c r="M1855" s="5">
        <v>44336.0</v>
      </c>
      <c r="N1855" s="1" t="s">
        <v>3115</v>
      </c>
    </row>
    <row r="1856" hidden="1">
      <c r="A1856" s="1" t="s">
        <v>21</v>
      </c>
      <c r="B1856" s="1" t="s">
        <v>25</v>
      </c>
      <c r="C1856" s="1" t="s">
        <v>2800</v>
      </c>
      <c r="D1856" s="1" t="str">
        <f>Vlookup(C1856,'Oil &amp; Gas Documents - Canada'!F:M,2,FALSE)</f>
        <v>#N/A</v>
      </c>
      <c r="E1856" s="1" t="str">
        <f>Vlookup(C1856,'Oil &amp; Gas Documents - Canada'!F:N,9,FALSE)</f>
        <v>#N/A</v>
      </c>
      <c r="F1856" s="1" t="s">
        <v>1131</v>
      </c>
      <c r="G1856" s="4" t="str">
        <f>HYPERLINK("http://nimonikapp.com/legislations/10311","http://nimonikapp.com/legislations/10311")</f>
        <v>http://nimonikapp.com/legislations/10311</v>
      </c>
      <c r="H1856" s="1" t="s">
        <v>18</v>
      </c>
      <c r="I1856" s="1" t="s">
        <v>4991</v>
      </c>
      <c r="J1856" s="1" t="s">
        <v>4992</v>
      </c>
      <c r="K1856" s="5">
        <v>44308.0</v>
      </c>
      <c r="L1856" s="5">
        <v>44713.0</v>
      </c>
      <c r="M1856" s="5">
        <v>44319.0</v>
      </c>
      <c r="N1856" s="1" t="s">
        <v>2803</v>
      </c>
    </row>
    <row r="1857" hidden="1">
      <c r="A1857" s="1" t="s">
        <v>70</v>
      </c>
      <c r="B1857" s="1" t="s">
        <v>25</v>
      </c>
      <c r="C1857" s="1" t="s">
        <v>3565</v>
      </c>
      <c r="D1857" s="1" t="str">
        <f>Vlookup(C1857,'Oil &amp; Gas Documents - Canada'!F:M,2,FALSE)</f>
        <v>#N/A</v>
      </c>
      <c r="E1857" s="1" t="str">
        <f>Vlookup(C1857,'Oil &amp; Gas Documents - Canada'!F:N,9,FALSE)</f>
        <v>#N/A</v>
      </c>
      <c r="F1857" s="1" t="s">
        <v>3566</v>
      </c>
      <c r="G1857" s="4" t="str">
        <f>HYPERLINK("http://nimonikapp.com/legislations/1263","http://nimonikapp.com/legislations/1263")</f>
        <v>http://nimonikapp.com/legislations/1263</v>
      </c>
      <c r="H1857" s="1" t="s">
        <v>18</v>
      </c>
      <c r="I1857" s="1" t="s">
        <v>4993</v>
      </c>
      <c r="J1857" s="1" t="s">
        <v>3568</v>
      </c>
      <c r="K1857" s="5">
        <v>44317.0</v>
      </c>
      <c r="L1857" s="5">
        <v>44743.0</v>
      </c>
      <c r="M1857" s="5">
        <v>44312.0</v>
      </c>
      <c r="N1857" s="1" t="s">
        <v>3569</v>
      </c>
    </row>
    <row r="1858" hidden="1">
      <c r="A1858" s="1" t="s">
        <v>53</v>
      </c>
      <c r="B1858" s="1" t="s">
        <v>25</v>
      </c>
      <c r="C1858" s="1" t="s">
        <v>3238</v>
      </c>
      <c r="D1858" s="1" t="str">
        <f>Vlookup(C1858,'Oil &amp; Gas Documents - Canada'!F:M,2,FALSE)</f>
        <v>#N/A</v>
      </c>
      <c r="E1858" s="1" t="str">
        <f>Vlookup(C1858,'Oil &amp; Gas Documents - Canada'!F:N,9,FALSE)</f>
        <v>#N/A</v>
      </c>
      <c r="F1858" s="1" t="s">
        <v>2660</v>
      </c>
      <c r="G1858" s="4" t="str">
        <f>HYPERLINK("http://nimonikapp.com/legislations/15565","http://nimonikapp.com/legislations/15565")</f>
        <v>http://nimonikapp.com/legislations/15565</v>
      </c>
      <c r="H1858" s="1" t="s">
        <v>18</v>
      </c>
      <c r="I1858" s="1" t="s">
        <v>4994</v>
      </c>
      <c r="J1858" s="1" t="s">
        <v>4995</v>
      </c>
      <c r="K1858" s="5">
        <v>44305.0</v>
      </c>
      <c r="L1858" s="5">
        <v>44693.0</v>
      </c>
      <c r="M1858" s="5">
        <v>44306.0</v>
      </c>
      <c r="N1858" s="1" t="s">
        <v>3241</v>
      </c>
    </row>
    <row r="1859" hidden="1">
      <c r="A1859" s="1" t="s">
        <v>73</v>
      </c>
      <c r="B1859" s="1" t="s">
        <v>25</v>
      </c>
      <c r="C1859" s="1" t="s">
        <v>1061</v>
      </c>
      <c r="D1859" s="1" t="str">
        <f>Vlookup(C1859,'Oil &amp; Gas Documents - Canada'!F:M,2,FALSE)</f>
        <v>#N/A</v>
      </c>
      <c r="E1859" s="1" t="str">
        <f>Vlookup(C1859,'Oil &amp; Gas Documents - Canada'!F:N,9,FALSE)</f>
        <v>#N/A</v>
      </c>
      <c r="F1859" s="1" t="s">
        <v>1062</v>
      </c>
      <c r="G1859" s="4" t="str">
        <f>HYPERLINK("http://nimonikapp.com/legislations/677","http://nimonikapp.com/legislations/677")</f>
        <v>http://nimonikapp.com/legislations/677</v>
      </c>
      <c r="H1859" s="1" t="s">
        <v>18</v>
      </c>
      <c r="I1859" s="1" t="s">
        <v>4996</v>
      </c>
      <c r="J1859" s="1" t="s">
        <v>4997</v>
      </c>
      <c r="K1859" s="5">
        <v>44286.0</v>
      </c>
      <c r="L1859" s="5">
        <v>44651.0</v>
      </c>
      <c r="M1859" s="5">
        <v>44286.0</v>
      </c>
      <c r="N1859" s="1" t="s">
        <v>1065</v>
      </c>
    </row>
    <row r="1860" hidden="1">
      <c r="A1860" s="1" t="s">
        <v>14</v>
      </c>
      <c r="B1860" s="1" t="s">
        <v>25</v>
      </c>
      <c r="C1860" s="1" t="s">
        <v>4203</v>
      </c>
      <c r="D1860" s="1" t="str">
        <f>Vlookup(C1860,'Oil &amp; Gas Documents - Canada'!F:M,2,FALSE)</f>
        <v>#N/A</v>
      </c>
      <c r="E1860" s="1" t="str">
        <f>Vlookup(C1860,'Oil &amp; Gas Documents - Canada'!F:N,9,FALSE)</f>
        <v>#N/A</v>
      </c>
      <c r="F1860" s="1" t="s">
        <v>4204</v>
      </c>
      <c r="G1860" s="4" t="str">
        <f>HYPERLINK("http://nimonikapp.com/legislations/3655","http://nimonikapp.com/legislations/3655")</f>
        <v>http://nimonikapp.com/legislations/3655</v>
      </c>
      <c r="H1860" s="1" t="s">
        <v>18</v>
      </c>
      <c r="I1860" s="1" t="s">
        <v>4998</v>
      </c>
      <c r="J1860" s="1" t="s">
        <v>4999</v>
      </c>
      <c r="K1860" s="5">
        <v>44260.0</v>
      </c>
      <c r="L1860" s="5">
        <v>44562.0</v>
      </c>
      <c r="M1860" s="5">
        <v>44266.0</v>
      </c>
      <c r="N1860" s="1" t="s">
        <v>4207</v>
      </c>
    </row>
    <row r="1861" hidden="1">
      <c r="A1861" s="1" t="s">
        <v>202</v>
      </c>
      <c r="B1861" s="1" t="s">
        <v>25</v>
      </c>
      <c r="C1861" s="1" t="s">
        <v>1911</v>
      </c>
      <c r="D1861" s="1" t="str">
        <f>Vlookup(C1861,'Oil &amp; Gas Documents - Canada'!F:M,2,FALSE)</f>
        <v>#N/A</v>
      </c>
      <c r="E1861" s="1" t="str">
        <f>Vlookup(C1861,'Oil &amp; Gas Documents - Canada'!F:N,9,FALSE)</f>
        <v>#N/A</v>
      </c>
      <c r="F1861" s="1" t="s">
        <v>821</v>
      </c>
      <c r="G1861" s="4" t="str">
        <f>HYPERLINK("http://nimonikapp.com/legislations/40","http://nimonikapp.com/legislations/40")</f>
        <v>http://nimonikapp.com/legislations/40</v>
      </c>
      <c r="H1861" s="1" t="s">
        <v>18</v>
      </c>
      <c r="I1861" s="1" t="s">
        <v>5000</v>
      </c>
      <c r="J1861" s="1" t="s">
        <v>5001</v>
      </c>
      <c r="K1861" s="5">
        <v>44126.0</v>
      </c>
      <c r="L1861" s="5">
        <v>44866.0</v>
      </c>
      <c r="M1861" s="5">
        <v>44211.0</v>
      </c>
      <c r="N1861" s="1" t="s">
        <v>1914</v>
      </c>
    </row>
    <row r="1862" hidden="1">
      <c r="A1862" s="1" t="s">
        <v>21</v>
      </c>
      <c r="B1862" s="1" t="s">
        <v>25</v>
      </c>
      <c r="C1862" s="1" t="s">
        <v>3999</v>
      </c>
      <c r="D1862" s="1" t="str">
        <f>Vlookup(C1862,'Oil &amp; Gas Documents - Canada'!F:M,2,FALSE)</f>
        <v>#N/A</v>
      </c>
      <c r="E1862" s="1" t="str">
        <f>Vlookup(C1862,'Oil &amp; Gas Documents - Canada'!F:N,9,FALSE)</f>
        <v>#N/A</v>
      </c>
      <c r="F1862" s="1" t="s">
        <v>4000</v>
      </c>
      <c r="G1862" s="4" t="str">
        <f>HYPERLINK("http://nimonikapp.com/legislations/216","http://nimonikapp.com/legislations/216")</f>
        <v>http://nimonikapp.com/legislations/216</v>
      </c>
      <c r="H1862" s="1" t="s">
        <v>18</v>
      </c>
      <c r="I1862" s="1" t="s">
        <v>5002</v>
      </c>
      <c r="J1862" s="1" t="s">
        <v>5003</v>
      </c>
      <c r="K1862" s="5">
        <v>44174.0</v>
      </c>
      <c r="L1862" s="5">
        <v>44802.0</v>
      </c>
      <c r="M1862" s="5">
        <v>44202.0</v>
      </c>
      <c r="N1862" s="1" t="s">
        <v>3998</v>
      </c>
    </row>
    <row r="1863" hidden="1">
      <c r="A1863" s="1" t="s">
        <v>21</v>
      </c>
      <c r="B1863" s="1" t="s">
        <v>25</v>
      </c>
      <c r="C1863" s="1" t="s">
        <v>3994</v>
      </c>
      <c r="D1863" s="1" t="str">
        <f>Vlookup(C1863,'Oil &amp; Gas Documents - Canada'!F:M,2,FALSE)</f>
        <v>#N/A</v>
      </c>
      <c r="E1863" s="1" t="str">
        <f>Vlookup(C1863,'Oil &amp; Gas Documents - Canada'!F:N,9,FALSE)</f>
        <v>#N/A</v>
      </c>
      <c r="F1863" s="1" t="s">
        <v>3995</v>
      </c>
      <c r="G1863" s="4" t="str">
        <f>HYPERLINK("http://nimonikapp.com/legislations/10312","http://nimonikapp.com/legislations/10312")</f>
        <v>http://nimonikapp.com/legislations/10312</v>
      </c>
      <c r="H1863" s="1" t="s">
        <v>18</v>
      </c>
      <c r="I1863" s="1" t="s">
        <v>5002</v>
      </c>
      <c r="J1863" s="1" t="s">
        <v>5003</v>
      </c>
      <c r="K1863" s="5">
        <v>44174.0</v>
      </c>
      <c r="L1863" s="5">
        <v>44802.0</v>
      </c>
      <c r="M1863" s="5">
        <v>44202.0</v>
      </c>
      <c r="N1863" s="1" t="s">
        <v>3998</v>
      </c>
    </row>
    <row r="1864" hidden="1">
      <c r="A1864" s="1" t="s">
        <v>70</v>
      </c>
      <c r="B1864" s="1" t="s">
        <v>25</v>
      </c>
      <c r="C1864" s="1" t="s">
        <v>5004</v>
      </c>
      <c r="D1864" s="1" t="str">
        <f>Vlookup(C1864,'Oil &amp; Gas Documents - Canada'!F:M,2,FALSE)</f>
        <v>#N/A</v>
      </c>
      <c r="E1864" s="1" t="str">
        <f>Vlookup(C1864,'Oil &amp; Gas Documents - Canada'!F:N,9,FALSE)</f>
        <v>#N/A</v>
      </c>
      <c r="F1864" s="1" t="s">
        <v>5005</v>
      </c>
      <c r="G1864" s="4" t="str">
        <f>HYPERLINK("http://nimonikapp.com/legislations/116955","http://nimonikapp.com/legislations/116955")</f>
        <v>http://nimonikapp.com/legislations/116955</v>
      </c>
      <c r="H1864" s="1" t="s">
        <v>18</v>
      </c>
      <c r="I1864" s="1" t="s">
        <v>5006</v>
      </c>
      <c r="J1864" s="1" t="s">
        <v>5007</v>
      </c>
      <c r="K1864" s="5">
        <v>44173.0</v>
      </c>
      <c r="L1864" s="5">
        <v>44621.0</v>
      </c>
      <c r="M1864" s="5">
        <v>44180.0</v>
      </c>
    </row>
    <row r="1865" hidden="1">
      <c r="A1865" s="1" t="s">
        <v>70</v>
      </c>
      <c r="B1865" s="1" t="s">
        <v>25</v>
      </c>
      <c r="C1865" s="1" t="s">
        <v>5008</v>
      </c>
      <c r="D1865" s="1" t="str">
        <f>Vlookup(C1865,'Oil &amp; Gas Documents - Canada'!F:M,2,FALSE)</f>
        <v>#N/A</v>
      </c>
      <c r="E1865" s="1" t="str">
        <f>Vlookup(C1865,'Oil &amp; Gas Documents - Canada'!F:N,9,FALSE)</f>
        <v>#N/A</v>
      </c>
      <c r="F1865" s="1" t="s">
        <v>5009</v>
      </c>
      <c r="G1865" s="4" t="str">
        <f>HYPERLINK("http://nimonikapp.com/legislations/481","http://nimonikapp.com/legislations/481")</f>
        <v>http://nimonikapp.com/legislations/481</v>
      </c>
      <c r="H1865" s="1" t="s">
        <v>18</v>
      </c>
      <c r="I1865" s="1" t="s">
        <v>5006</v>
      </c>
      <c r="J1865" s="1" t="s">
        <v>5007</v>
      </c>
      <c r="K1865" s="5">
        <v>44173.0</v>
      </c>
      <c r="L1865" s="5">
        <v>44621.0</v>
      </c>
      <c r="M1865" s="5">
        <v>44180.0</v>
      </c>
      <c r="N1865" s="1" t="s">
        <v>5010</v>
      </c>
    </row>
    <row r="1866" hidden="1">
      <c r="A1866" s="1" t="s">
        <v>70</v>
      </c>
      <c r="B1866" s="1" t="s">
        <v>25</v>
      </c>
      <c r="C1866" s="1" t="s">
        <v>4022</v>
      </c>
      <c r="D1866" s="1" t="str">
        <f>Vlookup(C1866,'Oil &amp; Gas Documents - Canada'!F:M,2,FALSE)</f>
        <v>#N/A</v>
      </c>
      <c r="E1866" s="1" t="str">
        <f>Vlookup(C1866,'Oil &amp; Gas Documents - Canada'!F:N,9,FALSE)</f>
        <v>#N/A</v>
      </c>
      <c r="F1866" s="1" t="s">
        <v>4023</v>
      </c>
      <c r="G1866" s="4" t="str">
        <f>HYPERLINK("http://nimonikapp.com/legislations/585","http://nimonikapp.com/legislations/585")</f>
        <v>http://nimonikapp.com/legislations/585</v>
      </c>
      <c r="H1866" s="1" t="s">
        <v>18</v>
      </c>
      <c r="I1866" s="1" t="s">
        <v>5006</v>
      </c>
      <c r="J1866" s="1" t="s">
        <v>5007</v>
      </c>
      <c r="K1866" s="5">
        <v>44173.0</v>
      </c>
      <c r="L1866" s="5">
        <v>44621.0</v>
      </c>
      <c r="M1866" s="5">
        <v>44180.0</v>
      </c>
      <c r="N1866" s="1" t="s">
        <v>4024</v>
      </c>
    </row>
    <row r="1867" hidden="1">
      <c r="A1867" s="1" t="s">
        <v>70</v>
      </c>
      <c r="B1867" s="1" t="s">
        <v>25</v>
      </c>
      <c r="C1867" s="1" t="s">
        <v>1806</v>
      </c>
      <c r="D1867" s="1" t="str">
        <f>Vlookup(C1867,'Oil &amp; Gas Documents - Canada'!F:M,2,FALSE)</f>
        <v>#N/A</v>
      </c>
      <c r="E1867" s="1" t="str">
        <f>Vlookup(C1867,'Oil &amp; Gas Documents - Canada'!F:N,9,FALSE)</f>
        <v>#N/A</v>
      </c>
      <c r="F1867" s="1" t="s">
        <v>1807</v>
      </c>
      <c r="G1867" s="4" t="str">
        <f>HYPERLINK("http://nimonikapp.com/legislations/128","http://nimonikapp.com/legislations/128")</f>
        <v>http://nimonikapp.com/legislations/128</v>
      </c>
      <c r="H1867" s="1" t="s">
        <v>18</v>
      </c>
      <c r="I1867" s="1" t="s">
        <v>5006</v>
      </c>
      <c r="J1867" s="1" t="s">
        <v>5007</v>
      </c>
      <c r="K1867" s="5">
        <v>44173.0</v>
      </c>
      <c r="L1867" s="5">
        <v>44621.0</v>
      </c>
      <c r="M1867" s="5">
        <v>44180.0</v>
      </c>
      <c r="N1867" s="1" t="s">
        <v>1810</v>
      </c>
    </row>
    <row r="1868">
      <c r="A1868" s="1" t="s">
        <v>73</v>
      </c>
      <c r="B1868" s="1" t="s">
        <v>25</v>
      </c>
      <c r="C1868" s="1" t="s">
        <v>789</v>
      </c>
      <c r="D1868" s="1" t="str">
        <f>Vlookup(C1868,'Oil &amp; Gas Documents - Canada'!F:M,2,FALSE)</f>
        <v>oil_and_gas, mining_and_minerals_industry, rail_transportation</v>
      </c>
      <c r="E1868" s="1" t="str">
        <f>Vlookup(C1868,'Oil &amp; Gas Documents - Canada'!F:N,9,FALSE)</f>
        <v/>
      </c>
      <c r="F1868" s="1" t="s">
        <v>788</v>
      </c>
      <c r="G1868" s="4" t="str">
        <f>HYPERLINK("http://nimonikapp.com/legislations/4281","http://nimonikapp.com/legislations/4281")</f>
        <v>http://nimonikapp.com/legislations/4281</v>
      </c>
      <c r="H1868" s="1" t="s">
        <v>18</v>
      </c>
      <c r="I1868" s="1" t="s">
        <v>791</v>
      </c>
      <c r="J1868" s="1" t="s">
        <v>792</v>
      </c>
      <c r="K1868" s="5">
        <v>44076.0</v>
      </c>
      <c r="L1868" s="5">
        <v>44806.0</v>
      </c>
      <c r="M1868" s="5">
        <v>44088.0</v>
      </c>
      <c r="N1868" s="1" t="s">
        <v>790</v>
      </c>
    </row>
    <row r="1869" hidden="1">
      <c r="A1869" s="1" t="s">
        <v>14</v>
      </c>
      <c r="B1869" s="1" t="s">
        <v>25</v>
      </c>
      <c r="C1869" s="1" t="s">
        <v>4940</v>
      </c>
      <c r="D1869" s="1" t="str">
        <f>Vlookup(C1869,'Oil &amp; Gas Documents - Canada'!F:M,2,FALSE)</f>
        <v>#N/A</v>
      </c>
      <c r="E1869" s="1" t="str">
        <f>Vlookup(C1869,'Oil &amp; Gas Documents - Canada'!F:N,9,FALSE)</f>
        <v>#N/A</v>
      </c>
      <c r="F1869" s="1" t="s">
        <v>4941</v>
      </c>
      <c r="G1869" s="4" t="str">
        <f>HYPERLINK("http://nimonikapp.com/legislations/15270","http://nimonikapp.com/legislations/15270")</f>
        <v>http://nimonikapp.com/legislations/15270</v>
      </c>
      <c r="H1869" s="1" t="s">
        <v>356</v>
      </c>
      <c r="I1869" s="1" t="s">
        <v>795</v>
      </c>
      <c r="J1869" s="1" t="s">
        <v>796</v>
      </c>
      <c r="K1869" s="5">
        <v>44015.0</v>
      </c>
      <c r="L1869" s="5">
        <v>44562.0</v>
      </c>
      <c r="M1869" s="5">
        <v>44083.0</v>
      </c>
      <c r="N1869" s="1" t="s">
        <v>4944</v>
      </c>
    </row>
    <row r="1870" hidden="1">
      <c r="A1870" s="1" t="s">
        <v>14</v>
      </c>
      <c r="B1870" s="1" t="s">
        <v>25</v>
      </c>
      <c r="C1870" s="1" t="s">
        <v>2735</v>
      </c>
      <c r="D1870" s="1" t="str">
        <f>Vlookup(C1870,'Oil &amp; Gas Documents - Canada'!F:M,2,FALSE)</f>
        <v>#N/A</v>
      </c>
      <c r="E1870" s="1" t="str">
        <f>Vlookup(C1870,'Oil &amp; Gas Documents - Canada'!F:N,9,FALSE)</f>
        <v>#N/A</v>
      </c>
      <c r="F1870" s="1" t="s">
        <v>2736</v>
      </c>
      <c r="G1870" s="4" t="str">
        <f>HYPERLINK("http://nimonikapp.com/legislations/633","http://nimonikapp.com/legislations/633")</f>
        <v>http://nimonikapp.com/legislations/633</v>
      </c>
      <c r="H1870" s="1" t="s">
        <v>18</v>
      </c>
      <c r="I1870" s="1" t="s">
        <v>795</v>
      </c>
      <c r="J1870" s="1" t="s">
        <v>796</v>
      </c>
      <c r="K1870" s="5">
        <v>44015.0</v>
      </c>
      <c r="L1870" s="5">
        <v>44562.0</v>
      </c>
      <c r="M1870" s="5">
        <v>44083.0</v>
      </c>
      <c r="N1870" s="1" t="s">
        <v>2739</v>
      </c>
    </row>
    <row r="1871" hidden="1">
      <c r="A1871" s="1" t="s">
        <v>14</v>
      </c>
      <c r="B1871" s="1" t="s">
        <v>25</v>
      </c>
      <c r="C1871" s="1" t="s">
        <v>5011</v>
      </c>
      <c r="D1871" s="1" t="str">
        <f>Vlookup(C1871,'Oil &amp; Gas Documents - Canada'!F:M,2,FALSE)</f>
        <v>#N/A</v>
      </c>
      <c r="E1871" s="1" t="str">
        <f>Vlookup(C1871,'Oil &amp; Gas Documents - Canada'!F:N,9,FALSE)</f>
        <v>#N/A</v>
      </c>
      <c r="F1871" s="1" t="s">
        <v>5012</v>
      </c>
      <c r="G1871" s="4" t="str">
        <f>HYPERLINK("http://nimonikapp.com/legislations/15272","http://nimonikapp.com/legislations/15272")</f>
        <v>http://nimonikapp.com/legislations/15272</v>
      </c>
      <c r="H1871" s="1" t="s">
        <v>18</v>
      </c>
      <c r="I1871" s="1" t="s">
        <v>795</v>
      </c>
      <c r="J1871" s="1" t="s">
        <v>796</v>
      </c>
      <c r="K1871" s="5">
        <v>44015.0</v>
      </c>
      <c r="L1871" s="5">
        <v>44562.0</v>
      </c>
      <c r="M1871" s="5">
        <v>44083.0</v>
      </c>
    </row>
    <row r="1872">
      <c r="A1872" s="1" t="s">
        <v>14</v>
      </c>
      <c r="B1872" s="1" t="s">
        <v>25</v>
      </c>
      <c r="C1872" s="1" t="s">
        <v>794</v>
      </c>
      <c r="D1872" s="1" t="s">
        <v>26</v>
      </c>
      <c r="E1872" s="1" t="str">
        <f>Vlookup(C1872,'Oil &amp; Gas Documents - Canada'!F:N,9,FALSE)</f>
        <v>#N/A</v>
      </c>
      <c r="F1872" s="1" t="s">
        <v>793</v>
      </c>
      <c r="G1872" s="4" t="str">
        <f>HYPERLINK("http://nimonikapp.com/legislations/118473","http://nimonikapp.com/legislations/118473")</f>
        <v>http://nimonikapp.com/legislations/118473</v>
      </c>
      <c r="H1872" s="1" t="s">
        <v>18</v>
      </c>
      <c r="I1872" s="1" t="s">
        <v>795</v>
      </c>
      <c r="J1872" s="1" t="s">
        <v>796</v>
      </c>
      <c r="K1872" s="5">
        <v>44015.0</v>
      </c>
      <c r="L1872" s="5">
        <v>44562.0</v>
      </c>
      <c r="M1872" s="5">
        <v>44083.0</v>
      </c>
    </row>
    <row r="1873">
      <c r="A1873" s="1" t="s">
        <v>14</v>
      </c>
      <c r="B1873" s="1" t="s">
        <v>25</v>
      </c>
      <c r="C1873" s="1" t="s">
        <v>798</v>
      </c>
      <c r="D1873" s="1" t="str">
        <f>Vlookup(C1873,'Oil &amp; Gas Documents - Canada'!F:M,2,FALSE)</f>
        <v>oil_and_gas</v>
      </c>
      <c r="E1873" s="1" t="str">
        <f>Vlookup(C1873,'Oil &amp; Gas Documents - Canada'!F:N,9,FALSE)</f>
        <v/>
      </c>
      <c r="F1873" s="1" t="s">
        <v>797</v>
      </c>
      <c r="G1873" s="4" t="str">
        <f>HYPERLINK("http://nimonikapp.com/legislations/792","http://nimonikapp.com/legislations/792")</f>
        <v>http://nimonikapp.com/legislations/792</v>
      </c>
      <c r="H1873" s="1" t="s">
        <v>18</v>
      </c>
      <c r="I1873" s="1" t="s">
        <v>795</v>
      </c>
      <c r="J1873" s="1" t="s">
        <v>796</v>
      </c>
      <c r="K1873" s="5">
        <v>44015.0</v>
      </c>
      <c r="L1873" s="5">
        <v>44562.0</v>
      </c>
      <c r="M1873" s="5">
        <v>44083.0</v>
      </c>
      <c r="N1873" s="1" t="s">
        <v>799</v>
      </c>
    </row>
    <row r="1874" hidden="1">
      <c r="A1874" s="1" t="s">
        <v>14</v>
      </c>
      <c r="B1874" s="1" t="s">
        <v>25</v>
      </c>
      <c r="C1874" s="1" t="s">
        <v>5013</v>
      </c>
      <c r="D1874" s="1" t="str">
        <f>Vlookup(C1874,'Oil &amp; Gas Documents - Canada'!F:M,2,FALSE)</f>
        <v>#N/A</v>
      </c>
      <c r="E1874" s="1" t="str">
        <f>Vlookup(C1874,'Oil &amp; Gas Documents - Canada'!F:N,9,FALSE)</f>
        <v>#N/A</v>
      </c>
      <c r="F1874" s="1" t="s">
        <v>5014</v>
      </c>
      <c r="G1874" s="4" t="str">
        <f>HYPERLINK("http://nimonikapp.com/legislations/15276","http://nimonikapp.com/legislations/15276")</f>
        <v>http://nimonikapp.com/legislations/15276</v>
      </c>
      <c r="H1874" s="1" t="s">
        <v>18</v>
      </c>
      <c r="I1874" s="1" t="s">
        <v>795</v>
      </c>
      <c r="J1874" s="1" t="s">
        <v>796</v>
      </c>
      <c r="K1874" s="5">
        <v>44015.0</v>
      </c>
      <c r="L1874" s="5">
        <v>44562.0</v>
      </c>
      <c r="M1874" s="5">
        <v>44083.0</v>
      </c>
      <c r="N1874" s="1" t="s">
        <v>799</v>
      </c>
    </row>
    <row r="1875" hidden="1">
      <c r="A1875" s="1" t="s">
        <v>66</v>
      </c>
      <c r="B1875" s="1" t="s">
        <v>25</v>
      </c>
      <c r="C1875" s="1" t="s">
        <v>2659</v>
      </c>
      <c r="D1875" s="1" t="str">
        <f>Vlookup(C1875,'Oil &amp; Gas Documents - Canada'!F:M,2,FALSE)</f>
        <v>#N/A</v>
      </c>
      <c r="E1875" s="1" t="str">
        <f>Vlookup(C1875,'Oil &amp; Gas Documents - Canada'!F:N,9,FALSE)</f>
        <v>#N/A</v>
      </c>
      <c r="F1875" s="1" t="s">
        <v>2660</v>
      </c>
      <c r="G1875" s="4" t="str">
        <f>HYPERLINK("http://nimonikapp.com/legislations/15056","http://nimonikapp.com/legislations/15056")</f>
        <v>http://nimonikapp.com/legislations/15056</v>
      </c>
      <c r="H1875" s="1" t="s">
        <v>18</v>
      </c>
      <c r="I1875" s="1" t="s">
        <v>5015</v>
      </c>
      <c r="J1875" s="1" t="s">
        <v>2662</v>
      </c>
      <c r="K1875" s="5">
        <v>43907.0</v>
      </c>
      <c r="L1875" s="5">
        <v>44562.0</v>
      </c>
      <c r="M1875" s="5">
        <v>43908.0</v>
      </c>
      <c r="N1875" s="1" t="s">
        <v>2663</v>
      </c>
    </row>
    <row r="1876" hidden="1">
      <c r="A1876" s="1" t="s">
        <v>557</v>
      </c>
      <c r="B1876" s="1" t="s">
        <v>25</v>
      </c>
      <c r="C1876" s="1" t="s">
        <v>3790</v>
      </c>
      <c r="D1876" s="1" t="str">
        <f>Vlookup(C1876,'Oil &amp; Gas Documents - Canada'!F:M,2,FALSE)</f>
        <v>#N/A</v>
      </c>
      <c r="E1876" s="1" t="str">
        <f>Vlookup(C1876,'Oil &amp; Gas Documents - Canada'!F:N,9,FALSE)</f>
        <v>#N/A</v>
      </c>
      <c r="F1876" s="1" t="s">
        <v>3791</v>
      </c>
      <c r="G1876" s="4" t="str">
        <f>HYPERLINK("http://nimonikapp.com/legislations/278","http://nimonikapp.com/legislations/278")</f>
        <v>http://nimonikapp.com/legislations/278</v>
      </c>
      <c r="H1876" s="1" t="s">
        <v>18</v>
      </c>
      <c r="I1876" s="1" t="s">
        <v>5016</v>
      </c>
      <c r="J1876" s="1" t="s">
        <v>5017</v>
      </c>
      <c r="K1876" s="5">
        <v>43535.0</v>
      </c>
      <c r="L1876" s="5">
        <v>44621.0</v>
      </c>
      <c r="M1876" s="5">
        <v>43739.0</v>
      </c>
    </row>
    <row r="1877" hidden="1">
      <c r="A1877" s="1" t="s">
        <v>73</v>
      </c>
      <c r="B1877" s="1" t="s">
        <v>25</v>
      </c>
      <c r="C1877" s="1" t="s">
        <v>5018</v>
      </c>
      <c r="D1877" s="1" t="str">
        <f>Vlookup(C1877,'Oil &amp; Gas Documents - Canada'!F:M,2,FALSE)</f>
        <v>#N/A</v>
      </c>
      <c r="E1877" s="1" t="str">
        <f>Vlookup(C1877,'Oil &amp; Gas Documents - Canada'!F:N,9,FALSE)</f>
        <v>#N/A</v>
      </c>
      <c r="F1877" s="1" t="s">
        <v>5019</v>
      </c>
      <c r="G1877" s="4" t="str">
        <f>HYPERLINK("http://nimonikapp.com/legislations/4063","http://nimonikapp.com/legislations/4063")</f>
        <v>http://nimonikapp.com/legislations/4063</v>
      </c>
      <c r="H1877" s="1" t="s">
        <v>18</v>
      </c>
      <c r="I1877" s="1" t="s">
        <v>5020</v>
      </c>
      <c r="J1877" s="1" t="s">
        <v>5021</v>
      </c>
      <c r="K1877" s="5">
        <v>43628.0</v>
      </c>
      <c r="L1877" s="5">
        <v>44562.0</v>
      </c>
      <c r="M1877" s="5">
        <v>43629.0</v>
      </c>
      <c r="N1877" s="1" t="s">
        <v>5022</v>
      </c>
    </row>
    <row r="1878" hidden="1">
      <c r="A1878" s="1" t="s">
        <v>14</v>
      </c>
      <c r="B1878" s="1" t="s">
        <v>25</v>
      </c>
      <c r="C1878" s="1" t="s">
        <v>5023</v>
      </c>
      <c r="D1878" s="1" t="str">
        <f>Vlookup(C1878,'Oil &amp; Gas Documents - Canada'!F:M,2,FALSE)</f>
        <v>#N/A</v>
      </c>
      <c r="E1878" s="1" t="str">
        <f>Vlookup(C1878,'Oil &amp; Gas Documents - Canada'!F:N,9,FALSE)</f>
        <v>#N/A</v>
      </c>
      <c r="F1878" s="1" t="s">
        <v>5024</v>
      </c>
      <c r="G1878" s="4" t="str">
        <f>HYPERLINK("http://nimonikapp.com/legislations/639","http://nimonikapp.com/legislations/639")</f>
        <v>http://nimonikapp.com/legislations/639</v>
      </c>
      <c r="H1878" s="1" t="s">
        <v>18</v>
      </c>
      <c r="I1878" s="1" t="s">
        <v>5025</v>
      </c>
      <c r="J1878" s="1" t="s">
        <v>5026</v>
      </c>
      <c r="K1878" s="5">
        <v>43600.0</v>
      </c>
      <c r="L1878" s="5">
        <v>44562.0</v>
      </c>
      <c r="M1878" s="5">
        <v>43607.0</v>
      </c>
      <c r="N1878" s="1" t="s">
        <v>5027</v>
      </c>
    </row>
    <row r="1879" hidden="1">
      <c r="A1879" s="1" t="s">
        <v>14</v>
      </c>
      <c r="B1879" s="1" t="s">
        <v>25</v>
      </c>
      <c r="C1879" s="1" t="s">
        <v>5028</v>
      </c>
      <c r="D1879" s="1" t="str">
        <f>Vlookup(C1879,'Oil &amp; Gas Documents - Canada'!F:M,2,FALSE)</f>
        <v>#N/A</v>
      </c>
      <c r="E1879" s="1" t="str">
        <f>Vlookup(C1879,'Oil &amp; Gas Documents - Canada'!F:N,9,FALSE)</f>
        <v>#N/A</v>
      </c>
      <c r="F1879" s="1" t="s">
        <v>5029</v>
      </c>
      <c r="G1879" s="4" t="str">
        <f>HYPERLINK("http://nimonikapp.com/legislations/634","http://nimonikapp.com/legislations/634")</f>
        <v>http://nimonikapp.com/legislations/634</v>
      </c>
      <c r="H1879" s="1" t="s">
        <v>18</v>
      </c>
      <c r="I1879" s="1" t="s">
        <v>5030</v>
      </c>
      <c r="J1879" s="1" t="s">
        <v>5031</v>
      </c>
      <c r="K1879" s="5">
        <v>43600.0</v>
      </c>
      <c r="L1879" s="5">
        <v>44562.0</v>
      </c>
      <c r="M1879" s="5">
        <v>43607.0</v>
      </c>
    </row>
    <row r="1880" hidden="1">
      <c r="A1880" s="1" t="s">
        <v>14</v>
      </c>
      <c r="B1880" s="1" t="s">
        <v>25</v>
      </c>
      <c r="C1880" s="1" t="s">
        <v>2730</v>
      </c>
      <c r="D1880" s="1" t="str">
        <f>Vlookup(C1880,'Oil &amp; Gas Documents - Canada'!F:M,2,FALSE)</f>
        <v>#N/A</v>
      </c>
      <c r="E1880" s="1" t="str">
        <f>Vlookup(C1880,'Oil &amp; Gas Documents - Canada'!F:N,9,FALSE)</f>
        <v>#N/A</v>
      </c>
      <c r="F1880" s="1" t="s">
        <v>2731</v>
      </c>
      <c r="G1880" s="4" t="str">
        <f>HYPERLINK("http://nimonikapp.com/legislations/636","http://nimonikapp.com/legislations/636")</f>
        <v>http://nimonikapp.com/legislations/636</v>
      </c>
      <c r="H1880" s="1" t="s">
        <v>18</v>
      </c>
      <c r="I1880" s="1" t="s">
        <v>5030</v>
      </c>
      <c r="J1880" s="1" t="s">
        <v>5031</v>
      </c>
      <c r="K1880" s="5">
        <v>43600.0</v>
      </c>
      <c r="L1880" s="5">
        <v>44562.0</v>
      </c>
      <c r="M1880" s="5">
        <v>43607.0</v>
      </c>
      <c r="N1880" s="1" t="s">
        <v>2734</v>
      </c>
    </row>
    <row r="1881" hidden="1">
      <c r="A1881" s="1" t="s">
        <v>14</v>
      </c>
      <c r="B1881" s="1" t="s">
        <v>25</v>
      </c>
      <c r="C1881" s="1" t="s">
        <v>5032</v>
      </c>
      <c r="D1881" s="1" t="str">
        <f>Vlookup(C1881,'Oil &amp; Gas Documents - Canada'!F:M,2,FALSE)</f>
        <v>#N/A</v>
      </c>
      <c r="E1881" s="1" t="str">
        <f>Vlookup(C1881,'Oil &amp; Gas Documents - Canada'!F:N,9,FALSE)</f>
        <v>#N/A</v>
      </c>
      <c r="F1881" s="1" t="s">
        <v>2748</v>
      </c>
      <c r="G1881" s="4" t="str">
        <f>HYPERLINK("http://nimonikapp.com/legislations/10615","http://nimonikapp.com/legislations/10615")</f>
        <v>http://nimonikapp.com/legislations/10615</v>
      </c>
      <c r="H1881" s="1" t="s">
        <v>18</v>
      </c>
      <c r="I1881" s="1" t="s">
        <v>803</v>
      </c>
      <c r="J1881" s="1" t="s">
        <v>804</v>
      </c>
      <c r="K1881" s="5">
        <v>43600.0</v>
      </c>
      <c r="L1881" s="5">
        <v>44562.0</v>
      </c>
      <c r="M1881" s="5">
        <v>43607.0</v>
      </c>
      <c r="N1881" s="1" t="s">
        <v>5033</v>
      </c>
    </row>
    <row r="1882">
      <c r="A1882" s="1" t="s">
        <v>14</v>
      </c>
      <c r="B1882" s="1" t="s">
        <v>25</v>
      </c>
      <c r="C1882" s="1" t="s">
        <v>801</v>
      </c>
      <c r="D1882" s="1" t="str">
        <f>Vlookup(C1882,'Oil &amp; Gas Documents - Canada'!F:M,2,FALSE)</f>
        <v>general, oil_and_gas, road_transportation, construction, printing_and_pulp_and_paper</v>
      </c>
      <c r="E1882" s="1" t="str">
        <f>Vlookup(C1882,'Oil &amp; Gas Documents - Canada'!F:N,9,FALSE)</f>
        <v/>
      </c>
      <c r="F1882" s="1" t="s">
        <v>800</v>
      </c>
      <c r="G1882" s="4" t="str">
        <f>HYPERLINK("http://nimonikapp.com/legislations/4128","http://nimonikapp.com/legislations/4128")</f>
        <v>http://nimonikapp.com/legislations/4128</v>
      </c>
      <c r="H1882" s="1" t="s">
        <v>18</v>
      </c>
      <c r="I1882" s="1" t="s">
        <v>803</v>
      </c>
      <c r="J1882" s="1" t="s">
        <v>804</v>
      </c>
      <c r="K1882" s="5">
        <v>43600.0</v>
      </c>
      <c r="L1882" s="5">
        <v>44562.0</v>
      </c>
      <c r="M1882" s="5">
        <v>43607.0</v>
      </c>
      <c r="N1882" s="1" t="s">
        <v>802</v>
      </c>
    </row>
  </sheetData>
  <autoFilter ref="$A$1:$P$1882">
    <filterColumn colId="3">
      <filters>
        <filter val="oil_and_gas, utilities_and_communications"/>
        <filter val="oil_and_gas, other"/>
        <filter val="oil_and_gas, mining_and_minerals_industry"/>
        <filter val="general, oil_and_gas"/>
        <filter val="general, oil_and_gas, mining_and_minerals_industry"/>
        <filter val="general, oil_and_gas, road_transportation, construction, printing_and_pulp_and_paper"/>
        <filter val="oil_and_gas"/>
        <filter val="oil_and_gas, chemicals_industry, financial_and_insurance"/>
        <filter val="oil_and_gas, mining_and_minerals_industry, healthcare_industry"/>
        <filter val="oil_and_gas, water_transportation"/>
        <filter val="oil_and_gas, mining_and_minerals_industry, rail_transportation"/>
        <filter val="oil_and_gas, utilities_and_communications, mining_and_minerals_industry"/>
      </filters>
    </filterColumn>
  </autoFil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5034</v>
      </c>
      <c r="B1" s="1" t="s">
        <v>5035</v>
      </c>
      <c r="C1" s="1" t="s">
        <v>5036</v>
      </c>
      <c r="D1" s="1" t="s">
        <v>5037</v>
      </c>
      <c r="E1" s="1" t="s">
        <v>5038</v>
      </c>
      <c r="F1" s="1" t="s">
        <v>5039</v>
      </c>
      <c r="G1" s="1" t="s">
        <v>5040</v>
      </c>
      <c r="H1" s="1" t="s">
        <v>5041</v>
      </c>
      <c r="I1" s="1" t="s">
        <v>5042</v>
      </c>
      <c r="J1" s="1" t="s">
        <v>0</v>
      </c>
      <c r="K1" s="1" t="s">
        <v>5043</v>
      </c>
      <c r="L1" s="1" t="s">
        <v>5044</v>
      </c>
      <c r="M1" s="1" t="s">
        <v>5045</v>
      </c>
      <c r="N1" s="1" t="s">
        <v>5046</v>
      </c>
      <c r="O1" s="1" t="s">
        <v>5047</v>
      </c>
      <c r="P1" s="1" t="s">
        <v>5048</v>
      </c>
      <c r="Q1" s="1" t="s">
        <v>5049</v>
      </c>
      <c r="R1" s="1" t="s">
        <v>5050</v>
      </c>
      <c r="S1" s="1" t="s">
        <v>5051</v>
      </c>
      <c r="T1" s="1" t="s">
        <v>5052</v>
      </c>
      <c r="U1" s="1" t="s">
        <v>5053</v>
      </c>
      <c r="V1" s="1" t="s">
        <v>5054</v>
      </c>
      <c r="W1" s="1" t="s">
        <v>5055</v>
      </c>
      <c r="X1" s="1" t="s">
        <v>5056</v>
      </c>
      <c r="Y1" s="1" t="s">
        <v>5057</v>
      </c>
      <c r="Z1" s="1" t="s">
        <v>5058</v>
      </c>
      <c r="AA1" s="1" t="s">
        <v>5059</v>
      </c>
      <c r="AB1" s="1" t="s">
        <v>5060</v>
      </c>
      <c r="AC1" s="1" t="s">
        <v>5061</v>
      </c>
      <c r="AD1" s="1" t="s">
        <v>5062</v>
      </c>
      <c r="AE1" s="1" t="s">
        <v>5063</v>
      </c>
      <c r="AF1" s="1" t="s">
        <v>5064</v>
      </c>
      <c r="AG1" s="1" t="s">
        <v>5065</v>
      </c>
      <c r="AH1" s="1" t="s">
        <v>5066</v>
      </c>
    </row>
    <row r="2">
      <c r="A2" s="1">
        <v>2.0</v>
      </c>
      <c r="B2" s="1">
        <v>0.0</v>
      </c>
      <c r="C2" s="1" t="s">
        <v>5067</v>
      </c>
      <c r="D2" s="1" t="s">
        <v>5068</v>
      </c>
      <c r="F2" s="1" t="s">
        <v>5069</v>
      </c>
      <c r="G2" s="1" t="s">
        <v>26</v>
      </c>
      <c r="H2" s="1" t="s">
        <v>5070</v>
      </c>
      <c r="I2" s="1" t="s">
        <v>18</v>
      </c>
      <c r="J2" s="1" t="s">
        <v>5071</v>
      </c>
      <c r="K2" s="1" t="s">
        <v>5072</v>
      </c>
      <c r="L2" s="6" t="s">
        <v>5073</v>
      </c>
      <c r="M2" s="1" t="s">
        <v>5074</v>
      </c>
      <c r="O2" s="5">
        <v>37805.0</v>
      </c>
      <c r="R2" s="1" t="b">
        <v>0</v>
      </c>
      <c r="S2" s="1">
        <v>0.0</v>
      </c>
      <c r="T2" s="1">
        <v>3756.0</v>
      </c>
      <c r="U2" s="1" t="b">
        <v>0</v>
      </c>
      <c r="Y2" s="1" t="s">
        <v>5075</v>
      </c>
      <c r="Z2" s="1" t="s">
        <v>5076</v>
      </c>
      <c r="AC2" s="1" t="s">
        <v>5077</v>
      </c>
      <c r="AD2" s="1" t="s">
        <v>5078</v>
      </c>
      <c r="AE2" s="6" t="s">
        <v>5079</v>
      </c>
      <c r="AG2" s="5">
        <v>42857.0</v>
      </c>
      <c r="AH2" s="1">
        <v>1.0</v>
      </c>
    </row>
    <row r="3">
      <c r="A3" s="1">
        <v>173091.0</v>
      </c>
      <c r="B3" s="1">
        <v>0.0</v>
      </c>
      <c r="C3" s="1" t="s">
        <v>5080</v>
      </c>
      <c r="D3" s="1" t="s">
        <v>5081</v>
      </c>
      <c r="F3" s="1" t="s">
        <v>5082</v>
      </c>
      <c r="G3" s="1" t="s">
        <v>26</v>
      </c>
      <c r="H3" s="1" t="s">
        <v>5070</v>
      </c>
      <c r="I3" s="1" t="s">
        <v>18</v>
      </c>
      <c r="J3" s="1" t="s">
        <v>5071</v>
      </c>
      <c r="K3" s="1" t="s">
        <v>5072</v>
      </c>
      <c r="L3" s="6" t="s">
        <v>5083</v>
      </c>
      <c r="M3" s="1" t="s">
        <v>5084</v>
      </c>
      <c r="O3" s="5">
        <v>37805.0</v>
      </c>
      <c r="R3" s="1" t="b">
        <v>0</v>
      </c>
      <c r="S3" s="1">
        <v>0.0</v>
      </c>
      <c r="T3" s="1">
        <v>3756.0</v>
      </c>
      <c r="U3" s="1" t="b">
        <v>0</v>
      </c>
      <c r="Z3" s="1" t="s">
        <v>5076</v>
      </c>
      <c r="AA3" s="1" t="s">
        <v>5069</v>
      </c>
      <c r="AE3" s="6" t="s">
        <v>5085</v>
      </c>
      <c r="AG3" s="5">
        <v>43298.0</v>
      </c>
    </row>
    <row r="4">
      <c r="A4" s="1">
        <v>3.0</v>
      </c>
      <c r="B4" s="1">
        <v>0.0</v>
      </c>
      <c r="C4" s="1" t="s">
        <v>5086</v>
      </c>
      <c r="D4" s="1" t="s">
        <v>5068</v>
      </c>
      <c r="F4" s="1" t="s">
        <v>5087</v>
      </c>
      <c r="G4" s="1" t="s">
        <v>26</v>
      </c>
      <c r="H4" s="1" t="s">
        <v>5070</v>
      </c>
      <c r="I4" s="1" t="s">
        <v>18</v>
      </c>
      <c r="J4" s="1" t="s">
        <v>5071</v>
      </c>
      <c r="K4" s="6" t="s">
        <v>5088</v>
      </c>
      <c r="L4" s="6" t="s">
        <v>5089</v>
      </c>
      <c r="M4" s="1" t="s">
        <v>5090</v>
      </c>
      <c r="O4" s="5">
        <v>37841.0</v>
      </c>
      <c r="R4" s="1" t="b">
        <v>0</v>
      </c>
      <c r="S4" s="1">
        <v>0.0</v>
      </c>
      <c r="T4" s="1">
        <v>3756.0</v>
      </c>
      <c r="U4" s="1" t="b">
        <v>0</v>
      </c>
      <c r="V4" s="1" t="s">
        <v>5091</v>
      </c>
      <c r="W4" s="1" t="s">
        <v>5092</v>
      </c>
      <c r="X4" s="1">
        <v>599.0</v>
      </c>
      <c r="Y4" s="1" t="s">
        <v>5075</v>
      </c>
      <c r="Z4" s="1" t="s">
        <v>5076</v>
      </c>
      <c r="AC4" s="1" t="s">
        <v>5077</v>
      </c>
      <c r="AD4" s="1" t="s">
        <v>5093</v>
      </c>
      <c r="AE4" s="6" t="s">
        <v>5079</v>
      </c>
      <c r="AG4" s="5">
        <v>42859.0</v>
      </c>
      <c r="AH4" s="1">
        <v>1353.0</v>
      </c>
    </row>
    <row r="5">
      <c r="A5" s="1">
        <v>173086.0</v>
      </c>
      <c r="B5" s="1">
        <v>0.0</v>
      </c>
      <c r="C5" s="1" t="s">
        <v>5094</v>
      </c>
      <c r="D5" s="1" t="s">
        <v>5081</v>
      </c>
      <c r="F5" s="1" t="s">
        <v>5095</v>
      </c>
      <c r="G5" s="1" t="s">
        <v>26</v>
      </c>
      <c r="H5" s="1" t="s">
        <v>5070</v>
      </c>
      <c r="I5" s="1" t="s">
        <v>18</v>
      </c>
      <c r="J5" s="1" t="s">
        <v>5071</v>
      </c>
      <c r="K5" s="6" t="s">
        <v>5096</v>
      </c>
      <c r="L5" s="6" t="s">
        <v>5097</v>
      </c>
      <c r="M5" s="1" t="s">
        <v>5098</v>
      </c>
      <c r="O5" s="5">
        <v>37841.0</v>
      </c>
      <c r="R5" s="1" t="b">
        <v>0</v>
      </c>
      <c r="S5" s="1">
        <v>0.0</v>
      </c>
      <c r="T5" s="1">
        <v>3756.0</v>
      </c>
      <c r="U5" s="1" t="b">
        <v>0</v>
      </c>
      <c r="V5" s="1" t="s">
        <v>5091</v>
      </c>
      <c r="W5" s="1" t="s">
        <v>5092</v>
      </c>
      <c r="X5" s="1">
        <v>599.0</v>
      </c>
      <c r="Z5" s="1" t="s">
        <v>5076</v>
      </c>
      <c r="AA5" s="1" t="s">
        <v>5087</v>
      </c>
      <c r="AE5" s="6" t="s">
        <v>5085</v>
      </c>
      <c r="AG5" s="5">
        <v>43298.0</v>
      </c>
    </row>
    <row r="6">
      <c r="A6" s="1">
        <v>22.0</v>
      </c>
      <c r="B6" s="1">
        <v>1.0</v>
      </c>
      <c r="C6" s="1" t="s">
        <v>5099</v>
      </c>
      <c r="D6" s="1" t="s">
        <v>5068</v>
      </c>
      <c r="E6" s="5">
        <v>44308.0</v>
      </c>
      <c r="F6" s="1" t="s">
        <v>5100</v>
      </c>
      <c r="G6" s="1" t="s">
        <v>5101</v>
      </c>
      <c r="H6" s="1" t="s">
        <v>5102</v>
      </c>
      <c r="I6" s="1" t="s">
        <v>18</v>
      </c>
      <c r="J6" s="1" t="s">
        <v>202</v>
      </c>
      <c r="K6" s="6" t="s">
        <v>5103</v>
      </c>
      <c r="L6" s="6" t="s">
        <v>5104</v>
      </c>
      <c r="M6" s="1" t="s">
        <v>5105</v>
      </c>
      <c r="R6" s="1" t="b">
        <v>0</v>
      </c>
      <c r="S6" s="1">
        <v>0.0</v>
      </c>
      <c r="U6" s="1" t="b">
        <v>0</v>
      </c>
      <c r="V6" s="1" t="s">
        <v>5106</v>
      </c>
      <c r="W6" s="1" t="s">
        <v>5107</v>
      </c>
      <c r="X6" s="1">
        <v>200.0</v>
      </c>
      <c r="Y6" s="1" t="s">
        <v>5075</v>
      </c>
      <c r="AC6" s="1" t="s">
        <v>5077</v>
      </c>
      <c r="AD6" s="1" t="s">
        <v>5093</v>
      </c>
      <c r="AG6" s="5">
        <v>42860.0</v>
      </c>
      <c r="AH6" s="1">
        <v>298655.0</v>
      </c>
    </row>
    <row r="7">
      <c r="A7" s="1">
        <v>172510.0</v>
      </c>
      <c r="B7" s="1">
        <v>1.0</v>
      </c>
      <c r="C7" s="1" t="s">
        <v>5108</v>
      </c>
      <c r="D7" s="1" t="s">
        <v>5081</v>
      </c>
      <c r="E7" s="5">
        <v>44308.0</v>
      </c>
      <c r="F7" s="1" t="s">
        <v>5109</v>
      </c>
      <c r="G7" s="1" t="s">
        <v>5101</v>
      </c>
      <c r="H7" s="1" t="s">
        <v>5102</v>
      </c>
      <c r="I7" s="1" t="s">
        <v>18</v>
      </c>
      <c r="J7" s="1" t="s">
        <v>202</v>
      </c>
      <c r="K7" s="6" t="s">
        <v>5110</v>
      </c>
      <c r="L7" s="6" t="s">
        <v>5111</v>
      </c>
      <c r="M7" s="1" t="s">
        <v>5112</v>
      </c>
      <c r="R7" s="1" t="b">
        <v>0</v>
      </c>
      <c r="S7" s="1">
        <v>0.0</v>
      </c>
      <c r="U7" s="1" t="b">
        <v>0</v>
      </c>
      <c r="V7" s="1" t="s">
        <v>5106</v>
      </c>
      <c r="W7" s="1" t="s">
        <v>5107</v>
      </c>
      <c r="X7" s="1">
        <v>200.0</v>
      </c>
      <c r="Y7" s="1" t="s">
        <v>5075</v>
      </c>
      <c r="AA7" s="1" t="s">
        <v>5100</v>
      </c>
      <c r="AG7" s="5">
        <v>43298.0</v>
      </c>
    </row>
    <row r="8">
      <c r="A8" s="1">
        <v>149.0</v>
      </c>
      <c r="B8" s="1">
        <v>0.0</v>
      </c>
      <c r="C8" s="1" t="s">
        <v>5113</v>
      </c>
      <c r="D8" s="1" t="s">
        <v>5068</v>
      </c>
      <c r="E8" s="5">
        <v>43248.0</v>
      </c>
      <c r="F8" s="1" t="s">
        <v>5114</v>
      </c>
      <c r="G8" s="1" t="s">
        <v>5115</v>
      </c>
      <c r="H8" s="1" t="s">
        <v>5116</v>
      </c>
      <c r="I8" s="1" t="s">
        <v>356</v>
      </c>
      <c r="J8" s="1" t="s">
        <v>21</v>
      </c>
      <c r="K8" s="1" t="s">
        <v>5072</v>
      </c>
      <c r="L8" s="6" t="s">
        <v>5117</v>
      </c>
      <c r="M8" s="1" t="s">
        <v>5118</v>
      </c>
      <c r="O8" s="5">
        <v>43101.0</v>
      </c>
      <c r="R8" s="1" t="b">
        <v>0</v>
      </c>
      <c r="S8" s="1">
        <v>0.0</v>
      </c>
      <c r="U8" s="1" t="b">
        <v>0</v>
      </c>
      <c r="V8" s="1" t="s">
        <v>5119</v>
      </c>
      <c r="W8" s="1" t="s">
        <v>5120</v>
      </c>
      <c r="Y8" s="1" t="s">
        <v>5075</v>
      </c>
      <c r="AC8" s="1" t="s">
        <v>5077</v>
      </c>
      <c r="AD8" s="1" t="s">
        <v>5093</v>
      </c>
      <c r="AG8" s="5">
        <v>42860.0</v>
      </c>
      <c r="AH8" s="1">
        <v>1448.0</v>
      </c>
    </row>
    <row r="9">
      <c r="A9" s="1">
        <v>261.0</v>
      </c>
      <c r="B9" s="1">
        <v>1.0</v>
      </c>
      <c r="C9" s="1" t="s">
        <v>5099</v>
      </c>
      <c r="D9" s="1" t="s">
        <v>5068</v>
      </c>
      <c r="F9" s="1" t="s">
        <v>5121</v>
      </c>
      <c r="G9" s="1" t="s">
        <v>5122</v>
      </c>
      <c r="H9" s="1" t="s">
        <v>5102</v>
      </c>
      <c r="I9" s="1" t="s">
        <v>18</v>
      </c>
      <c r="J9" s="1" t="s">
        <v>486</v>
      </c>
      <c r="K9" s="6" t="s">
        <v>5123</v>
      </c>
      <c r="L9" s="6" t="s">
        <v>5124</v>
      </c>
      <c r="M9" s="1" t="s">
        <v>5125</v>
      </c>
      <c r="O9" s="5">
        <v>32143.0</v>
      </c>
      <c r="R9" s="1" t="b">
        <v>0</v>
      </c>
      <c r="S9" s="1">
        <v>0.0</v>
      </c>
      <c r="U9" s="1" t="b">
        <v>0</v>
      </c>
      <c r="V9" s="1" t="s">
        <v>5126</v>
      </c>
      <c r="W9" s="1" t="s">
        <v>5127</v>
      </c>
      <c r="X9" s="1">
        <v>200.0</v>
      </c>
      <c r="Y9" s="1" t="s">
        <v>5075</v>
      </c>
      <c r="AC9" s="1" t="s">
        <v>5077</v>
      </c>
      <c r="AD9" s="1" t="s">
        <v>5093</v>
      </c>
      <c r="AG9" s="5">
        <v>42860.0</v>
      </c>
      <c r="AH9" s="1">
        <v>78714.0</v>
      </c>
    </row>
    <row r="10">
      <c r="A10" s="1">
        <v>264.0</v>
      </c>
      <c r="B10" s="1">
        <v>0.0</v>
      </c>
      <c r="C10" s="1" t="s">
        <v>5128</v>
      </c>
      <c r="D10" s="1" t="s">
        <v>5068</v>
      </c>
      <c r="F10" s="1" t="s">
        <v>5129</v>
      </c>
      <c r="G10" s="1" t="s">
        <v>26</v>
      </c>
      <c r="H10" s="1" t="s">
        <v>5102</v>
      </c>
      <c r="I10" s="1" t="s">
        <v>18</v>
      </c>
      <c r="J10" s="1" t="s">
        <v>1105</v>
      </c>
      <c r="K10" s="6" t="s">
        <v>5130</v>
      </c>
      <c r="L10" s="6" t="s">
        <v>5131</v>
      </c>
      <c r="M10" s="1" t="s">
        <v>5125</v>
      </c>
      <c r="O10" s="5">
        <v>37257.0</v>
      </c>
      <c r="R10" s="1" t="b">
        <v>0</v>
      </c>
      <c r="S10" s="1">
        <v>0.0</v>
      </c>
      <c r="U10" s="1" t="b">
        <v>0</v>
      </c>
      <c r="V10" s="1" t="s">
        <v>5132</v>
      </c>
      <c r="W10" s="1" t="s">
        <v>5133</v>
      </c>
      <c r="X10" s="1">
        <v>200.0</v>
      </c>
      <c r="AG10" s="5">
        <v>42860.0</v>
      </c>
    </row>
    <row r="11">
      <c r="A11" s="1">
        <v>288.0</v>
      </c>
      <c r="B11" s="1">
        <v>0.0</v>
      </c>
      <c r="C11" s="1" t="s">
        <v>5134</v>
      </c>
      <c r="D11" s="1" t="s">
        <v>5068</v>
      </c>
      <c r="E11" s="5">
        <v>43656.0</v>
      </c>
      <c r="F11" s="1" t="s">
        <v>5135</v>
      </c>
      <c r="G11" s="1" t="s">
        <v>5136</v>
      </c>
      <c r="H11" s="1" t="s">
        <v>5102</v>
      </c>
      <c r="I11" s="1" t="s">
        <v>18</v>
      </c>
      <c r="J11" s="1" t="s">
        <v>5071</v>
      </c>
      <c r="K11" s="6" t="s">
        <v>5137</v>
      </c>
      <c r="L11" s="6" t="s">
        <v>5138</v>
      </c>
      <c r="M11" s="1" t="s">
        <v>5139</v>
      </c>
      <c r="O11" s="5">
        <v>36892.0</v>
      </c>
      <c r="R11" s="1" t="b">
        <v>0</v>
      </c>
      <c r="S11" s="1">
        <v>0.0</v>
      </c>
      <c r="U11" s="1" t="b">
        <v>0</v>
      </c>
      <c r="V11" s="1" t="s">
        <v>5140</v>
      </c>
      <c r="W11" s="1" t="s">
        <v>5141</v>
      </c>
      <c r="X11" s="1">
        <v>200.0</v>
      </c>
      <c r="Y11" s="1" t="s">
        <v>5142</v>
      </c>
      <c r="AC11" s="1" t="s">
        <v>5077</v>
      </c>
      <c r="AD11" s="1" t="s">
        <v>5093</v>
      </c>
      <c r="AG11" s="5">
        <v>42860.0</v>
      </c>
      <c r="AH11" s="1">
        <v>159254.0</v>
      </c>
    </row>
    <row r="12">
      <c r="A12" s="1">
        <v>172468.0</v>
      </c>
      <c r="B12" s="1">
        <v>0.0</v>
      </c>
      <c r="C12" s="1" t="s">
        <v>5143</v>
      </c>
      <c r="D12" s="1" t="s">
        <v>5081</v>
      </c>
      <c r="E12" s="5">
        <v>43656.0</v>
      </c>
      <c r="F12" s="1" t="s">
        <v>5144</v>
      </c>
      <c r="G12" s="1" t="s">
        <v>5136</v>
      </c>
      <c r="H12" s="1" t="s">
        <v>5102</v>
      </c>
      <c r="I12" s="1" t="s">
        <v>18</v>
      </c>
      <c r="J12" s="1" t="s">
        <v>5071</v>
      </c>
      <c r="K12" s="1" t="s">
        <v>5072</v>
      </c>
      <c r="L12" s="6" t="s">
        <v>5145</v>
      </c>
      <c r="M12" s="1" t="s">
        <v>5146</v>
      </c>
      <c r="O12" s="5">
        <v>36892.0</v>
      </c>
      <c r="R12" s="1" t="b">
        <v>0</v>
      </c>
      <c r="S12" s="1">
        <v>0.0</v>
      </c>
      <c r="U12" s="1" t="b">
        <v>0</v>
      </c>
      <c r="V12" s="1" t="s">
        <v>5140</v>
      </c>
      <c r="W12" s="1" t="s">
        <v>5141</v>
      </c>
      <c r="X12" s="1">
        <v>408.0</v>
      </c>
      <c r="Y12" s="1" t="s">
        <v>5075</v>
      </c>
      <c r="AA12" s="1" t="s">
        <v>5135</v>
      </c>
      <c r="AG12" s="5">
        <v>43298.0</v>
      </c>
    </row>
    <row r="13">
      <c r="A13" s="1">
        <v>294.0</v>
      </c>
      <c r="B13" s="1">
        <v>1.0</v>
      </c>
      <c r="C13" s="1" t="s">
        <v>5147</v>
      </c>
      <c r="D13" s="1" t="s">
        <v>5068</v>
      </c>
      <c r="E13" s="5">
        <v>43557.0</v>
      </c>
      <c r="F13" s="1" t="s">
        <v>5148</v>
      </c>
      <c r="G13" s="1" t="s">
        <v>26</v>
      </c>
      <c r="H13" s="1" t="s">
        <v>5102</v>
      </c>
      <c r="I13" s="1" t="s">
        <v>18</v>
      </c>
      <c r="J13" s="1" t="s">
        <v>5149</v>
      </c>
      <c r="K13" s="6" t="s">
        <v>5150</v>
      </c>
      <c r="L13" s="6" t="s">
        <v>5151</v>
      </c>
      <c r="M13" s="1" t="s">
        <v>5152</v>
      </c>
      <c r="O13" s="5">
        <v>32874.0</v>
      </c>
      <c r="R13" s="1" t="b">
        <v>0</v>
      </c>
      <c r="S13" s="1">
        <v>0.0</v>
      </c>
      <c r="U13" s="1" t="b">
        <v>0</v>
      </c>
      <c r="V13" s="1" t="s">
        <v>5153</v>
      </c>
      <c r="W13" s="1" t="s">
        <v>5154</v>
      </c>
      <c r="X13" s="1">
        <v>200.0</v>
      </c>
      <c r="AC13" s="1" t="s">
        <v>5077</v>
      </c>
      <c r="AD13" s="1" t="s">
        <v>5093</v>
      </c>
      <c r="AG13" s="5">
        <v>42860.0</v>
      </c>
      <c r="AH13" s="1">
        <v>107403.0</v>
      </c>
    </row>
    <row r="14">
      <c r="A14" s="1">
        <v>301.0</v>
      </c>
      <c r="B14" s="1">
        <v>0.0</v>
      </c>
      <c r="C14" s="1" t="s">
        <v>5155</v>
      </c>
      <c r="D14" s="1" t="s">
        <v>5068</v>
      </c>
      <c r="F14" s="1" t="s">
        <v>5156</v>
      </c>
      <c r="G14" s="1" t="s">
        <v>5115</v>
      </c>
      <c r="H14" s="1" t="s">
        <v>5102</v>
      </c>
      <c r="I14" s="1" t="s">
        <v>18</v>
      </c>
      <c r="J14" s="1" t="s">
        <v>21</v>
      </c>
      <c r="K14" s="6" t="s">
        <v>5157</v>
      </c>
      <c r="L14" s="6" t="s">
        <v>5158</v>
      </c>
      <c r="M14" s="1" t="s">
        <v>5159</v>
      </c>
      <c r="O14" s="5">
        <v>39814.0</v>
      </c>
      <c r="R14" s="1" t="b">
        <v>0</v>
      </c>
      <c r="S14" s="1">
        <v>0.0</v>
      </c>
      <c r="U14" s="1" t="b">
        <v>0</v>
      </c>
      <c r="V14" s="1" t="s">
        <v>5119</v>
      </c>
      <c r="W14" s="1" t="s">
        <v>5160</v>
      </c>
      <c r="X14" s="1">
        <v>200.0</v>
      </c>
      <c r="Y14" s="1" t="s">
        <v>5075</v>
      </c>
      <c r="AG14" s="5">
        <v>42860.0</v>
      </c>
    </row>
    <row r="15">
      <c r="A15" s="1">
        <v>401.0</v>
      </c>
      <c r="B15" s="1">
        <v>1.0</v>
      </c>
      <c r="C15" s="1" t="s">
        <v>5161</v>
      </c>
      <c r="D15" s="1" t="s">
        <v>5068</v>
      </c>
      <c r="E15" s="5">
        <v>44889.0</v>
      </c>
      <c r="F15" s="1" t="s">
        <v>5162</v>
      </c>
      <c r="G15" s="1" t="s">
        <v>26</v>
      </c>
      <c r="H15" s="1" t="s">
        <v>5102</v>
      </c>
      <c r="I15" s="1" t="s">
        <v>18</v>
      </c>
      <c r="J15" s="1" t="s">
        <v>24</v>
      </c>
      <c r="K15" s="6" t="s">
        <v>5163</v>
      </c>
      <c r="L15" s="6" t="s">
        <v>5164</v>
      </c>
      <c r="M15" s="1" t="s">
        <v>5165</v>
      </c>
      <c r="O15" s="5">
        <v>39448.0</v>
      </c>
      <c r="R15" s="1" t="b">
        <v>0</v>
      </c>
      <c r="S15" s="1">
        <v>0.0</v>
      </c>
      <c r="U15" s="1" t="b">
        <v>0</v>
      </c>
      <c r="V15" s="1" t="s">
        <v>5166</v>
      </c>
      <c r="W15" s="1" t="s">
        <v>5167</v>
      </c>
      <c r="X15" s="1">
        <v>200.0</v>
      </c>
      <c r="Y15" s="1" t="s">
        <v>5142</v>
      </c>
      <c r="AC15" s="1" t="s">
        <v>5077</v>
      </c>
      <c r="AD15" s="1" t="s">
        <v>5093</v>
      </c>
      <c r="AG15" s="5">
        <v>42860.0</v>
      </c>
      <c r="AH15" s="1">
        <v>321430.0</v>
      </c>
    </row>
    <row r="16">
      <c r="A16" s="1">
        <v>542.0</v>
      </c>
      <c r="B16" s="1">
        <v>1.0</v>
      </c>
      <c r="C16" s="1" t="s">
        <v>5168</v>
      </c>
      <c r="D16" s="1" t="s">
        <v>5068</v>
      </c>
      <c r="F16" s="1" t="s">
        <v>5169</v>
      </c>
      <c r="G16" s="1" t="s">
        <v>26</v>
      </c>
      <c r="H16" s="1" t="s">
        <v>5102</v>
      </c>
      <c r="I16" s="1" t="s">
        <v>18</v>
      </c>
      <c r="J16" s="1" t="s">
        <v>221</v>
      </c>
      <c r="K16" s="6" t="s">
        <v>5170</v>
      </c>
      <c r="L16" s="6" t="s">
        <v>5171</v>
      </c>
      <c r="M16" s="1" t="s">
        <v>5125</v>
      </c>
      <c r="R16" s="1" t="b">
        <v>0</v>
      </c>
      <c r="S16" s="1">
        <v>0.0</v>
      </c>
      <c r="U16" s="1" t="b">
        <v>0</v>
      </c>
      <c r="V16" s="1" t="s">
        <v>5106</v>
      </c>
      <c r="W16" s="1" t="s">
        <v>5172</v>
      </c>
      <c r="X16" s="1">
        <v>200.0</v>
      </c>
      <c r="Y16" s="1" t="s">
        <v>5075</v>
      </c>
      <c r="AC16" s="1" t="s">
        <v>5077</v>
      </c>
      <c r="AD16" s="1" t="s">
        <v>5093</v>
      </c>
      <c r="AG16" s="5">
        <v>42860.0</v>
      </c>
      <c r="AH16" s="1">
        <v>67343.0</v>
      </c>
    </row>
    <row r="17">
      <c r="A17" s="1">
        <v>604.0</v>
      </c>
      <c r="B17" s="1">
        <v>1.0</v>
      </c>
      <c r="C17" s="1" t="s">
        <v>757</v>
      </c>
      <c r="D17" s="1" t="s">
        <v>5068</v>
      </c>
      <c r="E17" s="5">
        <v>43875.0</v>
      </c>
      <c r="F17" s="1" t="s">
        <v>5173</v>
      </c>
      <c r="G17" s="1" t="s">
        <v>5174</v>
      </c>
      <c r="H17" s="1" t="s">
        <v>5102</v>
      </c>
      <c r="I17" s="1" t="s">
        <v>18</v>
      </c>
      <c r="J17" s="1" t="s">
        <v>14</v>
      </c>
      <c r="K17" s="6" t="s">
        <v>5175</v>
      </c>
      <c r="L17" s="6" t="s">
        <v>5176</v>
      </c>
      <c r="M17" s="1" t="s">
        <v>5177</v>
      </c>
      <c r="O17" s="5">
        <v>28491.0</v>
      </c>
      <c r="R17" s="1" t="b">
        <v>0</v>
      </c>
      <c r="S17" s="1">
        <v>0.0</v>
      </c>
      <c r="U17" s="1" t="b">
        <v>0</v>
      </c>
      <c r="V17" s="1" t="s">
        <v>5153</v>
      </c>
      <c r="W17" s="1" t="s">
        <v>5178</v>
      </c>
      <c r="X17" s="1">
        <v>200.0</v>
      </c>
      <c r="Y17" s="1" t="s">
        <v>5075</v>
      </c>
      <c r="AC17" s="1" t="s">
        <v>5077</v>
      </c>
      <c r="AD17" s="1" t="s">
        <v>5093</v>
      </c>
      <c r="AG17" s="5">
        <v>42860.0</v>
      </c>
      <c r="AH17" s="1">
        <v>172407.0</v>
      </c>
    </row>
    <row r="18">
      <c r="A18" s="1">
        <v>609.0</v>
      </c>
      <c r="B18" s="1">
        <v>1.0</v>
      </c>
      <c r="C18" s="1" t="s">
        <v>757</v>
      </c>
      <c r="D18" s="1" t="s">
        <v>5068</v>
      </c>
      <c r="E18" s="5">
        <v>44895.0</v>
      </c>
      <c r="F18" s="1" t="s">
        <v>758</v>
      </c>
      <c r="G18" s="1" t="s">
        <v>26</v>
      </c>
      <c r="H18" s="1" t="s">
        <v>5102</v>
      </c>
      <c r="I18" s="1" t="s">
        <v>18</v>
      </c>
      <c r="J18" s="1" t="s">
        <v>21</v>
      </c>
      <c r="K18" s="6" t="s">
        <v>5179</v>
      </c>
      <c r="L18" s="6" t="s">
        <v>5180</v>
      </c>
      <c r="M18" s="1" t="s">
        <v>5181</v>
      </c>
      <c r="O18" s="5">
        <v>36526.0</v>
      </c>
      <c r="R18" s="1" t="b">
        <v>0</v>
      </c>
      <c r="S18" s="1">
        <v>0.0</v>
      </c>
      <c r="U18" s="1" t="b">
        <v>0</v>
      </c>
      <c r="V18" s="1" t="s">
        <v>5182</v>
      </c>
      <c r="W18" s="1" t="s">
        <v>5183</v>
      </c>
      <c r="X18" s="1">
        <v>200.0</v>
      </c>
      <c r="Y18" s="1" t="s">
        <v>5142</v>
      </c>
      <c r="AC18" s="1" t="s">
        <v>5077</v>
      </c>
      <c r="AD18" s="1" t="s">
        <v>5093</v>
      </c>
      <c r="AG18" s="5">
        <v>42860.0</v>
      </c>
      <c r="AH18" s="1">
        <v>326286.0</v>
      </c>
    </row>
    <row r="19">
      <c r="A19" s="1">
        <v>732.0</v>
      </c>
      <c r="B19" s="1">
        <v>0.0</v>
      </c>
      <c r="C19" s="1" t="s">
        <v>5184</v>
      </c>
      <c r="D19" s="1" t="s">
        <v>5068</v>
      </c>
      <c r="F19" s="1" t="s">
        <v>5185</v>
      </c>
      <c r="G19" s="1" t="s">
        <v>26</v>
      </c>
      <c r="H19" s="1" t="s">
        <v>5102</v>
      </c>
      <c r="I19" s="1" t="s">
        <v>18</v>
      </c>
      <c r="J19" s="1" t="s">
        <v>14</v>
      </c>
      <c r="K19" s="6" t="s">
        <v>5186</v>
      </c>
      <c r="L19" s="6" t="s">
        <v>5187</v>
      </c>
      <c r="M19" s="1" t="s">
        <v>5188</v>
      </c>
      <c r="R19" s="1" t="b">
        <v>0</v>
      </c>
      <c r="S19" s="1">
        <v>0.0</v>
      </c>
      <c r="U19" s="1" t="b">
        <v>0</v>
      </c>
      <c r="V19" s="1" t="s">
        <v>5106</v>
      </c>
      <c r="W19" s="1" t="s">
        <v>5189</v>
      </c>
      <c r="X19" s="1">
        <v>200.0</v>
      </c>
      <c r="AG19" s="5">
        <v>42860.0</v>
      </c>
    </row>
    <row r="20">
      <c r="A20" s="1">
        <v>734.0</v>
      </c>
      <c r="B20" s="1">
        <v>1.0</v>
      </c>
      <c r="C20" s="1" t="s">
        <v>797</v>
      </c>
      <c r="D20" s="1" t="s">
        <v>5068</v>
      </c>
      <c r="E20" s="5">
        <v>44015.0</v>
      </c>
      <c r="F20" s="1" t="s">
        <v>798</v>
      </c>
      <c r="G20" s="1" t="s">
        <v>26</v>
      </c>
      <c r="H20" s="1" t="s">
        <v>5102</v>
      </c>
      <c r="I20" s="1" t="s">
        <v>18</v>
      </c>
      <c r="J20" s="1" t="s">
        <v>14</v>
      </c>
      <c r="K20" s="6" t="s">
        <v>5190</v>
      </c>
      <c r="L20" s="6" t="s">
        <v>5191</v>
      </c>
      <c r="M20" s="1" t="s">
        <v>5192</v>
      </c>
      <c r="O20" s="5">
        <v>33970.0</v>
      </c>
      <c r="R20" s="1" t="b">
        <v>0</v>
      </c>
      <c r="S20" s="1">
        <v>0.0</v>
      </c>
      <c r="U20" s="1" t="b">
        <v>0</v>
      </c>
      <c r="V20" s="1" t="s">
        <v>5193</v>
      </c>
      <c r="W20" s="1" t="s">
        <v>5194</v>
      </c>
      <c r="X20" s="1">
        <v>200.0</v>
      </c>
      <c r="AC20" s="1" t="s">
        <v>5077</v>
      </c>
      <c r="AD20" s="1" t="s">
        <v>5093</v>
      </c>
      <c r="AG20" s="5">
        <v>42860.0</v>
      </c>
      <c r="AH20" s="1">
        <v>286909.0</v>
      </c>
    </row>
    <row r="21">
      <c r="A21" s="1">
        <v>806.0</v>
      </c>
      <c r="B21" s="1">
        <v>1.0</v>
      </c>
      <c r="C21" s="1" t="s">
        <v>5195</v>
      </c>
      <c r="D21" s="1" t="s">
        <v>5068</v>
      </c>
      <c r="F21" s="1" t="s">
        <v>5196</v>
      </c>
      <c r="G21" s="1" t="s">
        <v>5197</v>
      </c>
      <c r="H21" s="1" t="s">
        <v>5102</v>
      </c>
      <c r="I21" s="1" t="s">
        <v>18</v>
      </c>
      <c r="J21" s="1" t="s">
        <v>5071</v>
      </c>
      <c r="K21" s="6" t="s">
        <v>5198</v>
      </c>
      <c r="L21" s="6" t="s">
        <v>5199</v>
      </c>
      <c r="M21" s="1" t="s">
        <v>5200</v>
      </c>
      <c r="O21" s="5">
        <v>36526.0</v>
      </c>
      <c r="R21" s="1" t="b">
        <v>0</v>
      </c>
      <c r="S21" s="1">
        <v>0.0</v>
      </c>
      <c r="T21" s="1">
        <v>5.0</v>
      </c>
      <c r="U21" s="1" t="b">
        <v>0</v>
      </c>
      <c r="V21" s="1" t="s">
        <v>5201</v>
      </c>
      <c r="W21" s="1" t="s">
        <v>5202</v>
      </c>
      <c r="X21" s="1">
        <v>200.0</v>
      </c>
      <c r="Y21" s="1" t="s">
        <v>5075</v>
      </c>
      <c r="Z21" s="1" t="s">
        <v>5203</v>
      </c>
      <c r="AC21" s="1" t="s">
        <v>5077</v>
      </c>
      <c r="AD21" s="1" t="s">
        <v>5093</v>
      </c>
      <c r="AG21" s="5">
        <v>42860.0</v>
      </c>
      <c r="AH21" s="1">
        <v>1024.0</v>
      </c>
    </row>
    <row r="22">
      <c r="A22" s="1">
        <v>172664.0</v>
      </c>
      <c r="B22" s="1">
        <v>1.0</v>
      </c>
      <c r="C22" s="1" t="s">
        <v>5204</v>
      </c>
      <c r="D22" s="1" t="s">
        <v>5081</v>
      </c>
      <c r="F22" s="1" t="s">
        <v>5205</v>
      </c>
      <c r="G22" s="1" t="s">
        <v>5197</v>
      </c>
      <c r="H22" s="1" t="s">
        <v>5102</v>
      </c>
      <c r="I22" s="1" t="s">
        <v>18</v>
      </c>
      <c r="J22" s="1" t="s">
        <v>5071</v>
      </c>
      <c r="K22" s="6" t="s">
        <v>5206</v>
      </c>
      <c r="L22" s="6" t="s">
        <v>5207</v>
      </c>
      <c r="M22" s="1" t="s">
        <v>5208</v>
      </c>
      <c r="O22" s="5">
        <v>36526.0</v>
      </c>
      <c r="R22" s="1" t="b">
        <v>0</v>
      </c>
      <c r="S22" s="1">
        <v>0.0</v>
      </c>
      <c r="T22" s="1">
        <v>5.0</v>
      </c>
      <c r="U22" s="1" t="b">
        <v>0</v>
      </c>
      <c r="V22" s="1" t="s">
        <v>5201</v>
      </c>
      <c r="W22" s="1" t="s">
        <v>5202</v>
      </c>
      <c r="X22" s="1">
        <v>200.0</v>
      </c>
      <c r="Z22" s="1" t="s">
        <v>5203</v>
      </c>
      <c r="AA22" s="1" t="s">
        <v>5196</v>
      </c>
      <c r="AG22" s="5">
        <v>43298.0</v>
      </c>
    </row>
    <row r="23">
      <c r="A23" s="1">
        <v>807.0</v>
      </c>
      <c r="B23" s="1">
        <v>1.0</v>
      </c>
      <c r="C23" s="1" t="s">
        <v>5209</v>
      </c>
      <c r="D23" s="1" t="s">
        <v>5068</v>
      </c>
      <c r="F23" s="1" t="s">
        <v>5210</v>
      </c>
      <c r="G23" s="1" t="s">
        <v>5197</v>
      </c>
      <c r="H23" s="1" t="s">
        <v>5102</v>
      </c>
      <c r="I23" s="1" t="s">
        <v>18</v>
      </c>
      <c r="J23" s="1" t="s">
        <v>5071</v>
      </c>
      <c r="K23" s="6" t="s">
        <v>5211</v>
      </c>
      <c r="L23" s="6" t="s">
        <v>5212</v>
      </c>
      <c r="M23" s="1" t="s">
        <v>5213</v>
      </c>
      <c r="O23" s="5">
        <v>32874.0</v>
      </c>
      <c r="R23" s="1" t="b">
        <v>0</v>
      </c>
      <c r="S23" s="1">
        <v>0.0</v>
      </c>
      <c r="T23" s="1">
        <v>5.0</v>
      </c>
      <c r="U23" s="1" t="b">
        <v>0</v>
      </c>
      <c r="V23" s="1" t="s">
        <v>5106</v>
      </c>
      <c r="W23" s="1" t="s">
        <v>5214</v>
      </c>
      <c r="X23" s="1">
        <v>200.0</v>
      </c>
      <c r="Y23" s="1" t="s">
        <v>5075</v>
      </c>
      <c r="Z23" s="1" t="s">
        <v>5203</v>
      </c>
      <c r="AC23" s="1" t="s">
        <v>5077</v>
      </c>
      <c r="AD23" s="1" t="s">
        <v>5093</v>
      </c>
      <c r="AG23" s="5">
        <v>42860.0</v>
      </c>
      <c r="AH23" s="1">
        <v>67254.0</v>
      </c>
    </row>
    <row r="24">
      <c r="A24" s="1">
        <v>172665.0</v>
      </c>
      <c r="B24" s="1">
        <v>1.0</v>
      </c>
      <c r="C24" s="1" t="s">
        <v>5215</v>
      </c>
      <c r="D24" s="1" t="s">
        <v>5081</v>
      </c>
      <c r="F24" s="1" t="s">
        <v>5216</v>
      </c>
      <c r="G24" s="1" t="s">
        <v>5197</v>
      </c>
      <c r="H24" s="1" t="s">
        <v>5102</v>
      </c>
      <c r="I24" s="1" t="s">
        <v>18</v>
      </c>
      <c r="J24" s="1" t="s">
        <v>5071</v>
      </c>
      <c r="K24" s="6" t="s">
        <v>5217</v>
      </c>
      <c r="L24" s="6" t="s">
        <v>5218</v>
      </c>
      <c r="M24" s="1" t="s">
        <v>5219</v>
      </c>
      <c r="O24" s="5">
        <v>32874.0</v>
      </c>
      <c r="R24" s="1" t="b">
        <v>0</v>
      </c>
      <c r="S24" s="1">
        <v>0.0</v>
      </c>
      <c r="T24" s="1">
        <v>5.0</v>
      </c>
      <c r="U24" s="1" t="b">
        <v>0</v>
      </c>
      <c r="V24" s="1" t="s">
        <v>5106</v>
      </c>
      <c r="W24" s="1" t="s">
        <v>5214</v>
      </c>
      <c r="X24" s="1">
        <v>200.0</v>
      </c>
      <c r="Z24" s="1" t="s">
        <v>5203</v>
      </c>
      <c r="AA24" s="1" t="s">
        <v>5210</v>
      </c>
      <c r="AG24" s="5">
        <v>43298.0</v>
      </c>
    </row>
    <row r="25">
      <c r="A25" s="1">
        <v>824.0</v>
      </c>
      <c r="B25" s="1">
        <v>0.0</v>
      </c>
      <c r="C25" s="1" t="s">
        <v>365</v>
      </c>
      <c r="D25" s="1" t="s">
        <v>5068</v>
      </c>
      <c r="E25" s="5">
        <v>44748.0</v>
      </c>
      <c r="F25" s="1" t="s">
        <v>366</v>
      </c>
      <c r="G25" s="1" t="s">
        <v>5220</v>
      </c>
      <c r="H25" s="1" t="s">
        <v>5102</v>
      </c>
      <c r="I25" s="1" t="s">
        <v>356</v>
      </c>
      <c r="J25" s="1" t="s">
        <v>5071</v>
      </c>
      <c r="K25" s="6" t="s">
        <v>5221</v>
      </c>
      <c r="L25" s="6" t="s">
        <v>5222</v>
      </c>
      <c r="M25" s="1" t="s">
        <v>5223</v>
      </c>
      <c r="O25" s="5">
        <v>40179.0</v>
      </c>
      <c r="Q25" s="5">
        <v>44733.0</v>
      </c>
      <c r="R25" s="1" t="b">
        <v>0</v>
      </c>
      <c r="S25" s="1">
        <v>0.0</v>
      </c>
      <c r="T25" s="1">
        <v>5.0</v>
      </c>
      <c r="U25" s="1" t="b">
        <v>0</v>
      </c>
      <c r="V25" s="1" t="s">
        <v>5132</v>
      </c>
      <c r="W25" s="1" t="s">
        <v>5224</v>
      </c>
      <c r="X25" s="1">
        <v>200.0</v>
      </c>
      <c r="Y25" s="1" t="s">
        <v>5075</v>
      </c>
      <c r="Z25" s="1" t="s">
        <v>5203</v>
      </c>
      <c r="AC25" s="1" t="s">
        <v>5077</v>
      </c>
      <c r="AD25" s="1" t="s">
        <v>5093</v>
      </c>
      <c r="AG25" s="5">
        <v>42860.0</v>
      </c>
      <c r="AH25" s="1">
        <v>67269.0</v>
      </c>
    </row>
    <row r="26">
      <c r="A26" s="1">
        <v>172643.0</v>
      </c>
      <c r="B26" s="1">
        <v>0.0</v>
      </c>
      <c r="C26" s="1" t="s">
        <v>5225</v>
      </c>
      <c r="D26" s="1" t="s">
        <v>5081</v>
      </c>
      <c r="E26" s="5">
        <v>44748.0</v>
      </c>
      <c r="F26" s="1" t="s">
        <v>5226</v>
      </c>
      <c r="G26" s="1" t="s">
        <v>5220</v>
      </c>
      <c r="H26" s="1" t="s">
        <v>5102</v>
      </c>
      <c r="I26" s="1" t="s">
        <v>356</v>
      </c>
      <c r="J26" s="1" t="s">
        <v>5071</v>
      </c>
      <c r="K26" s="6" t="s">
        <v>5227</v>
      </c>
      <c r="L26" s="6" t="s">
        <v>5228</v>
      </c>
      <c r="M26" s="1" t="s">
        <v>5229</v>
      </c>
      <c r="O26" s="5">
        <v>40179.0</v>
      </c>
      <c r="Q26" s="5">
        <v>44733.0</v>
      </c>
      <c r="R26" s="1" t="b">
        <v>0</v>
      </c>
      <c r="S26" s="1">
        <v>0.0</v>
      </c>
      <c r="T26" s="1">
        <v>5.0</v>
      </c>
      <c r="U26" s="1" t="b">
        <v>0</v>
      </c>
      <c r="V26" s="1" t="s">
        <v>5132</v>
      </c>
      <c r="W26" s="1" t="s">
        <v>5224</v>
      </c>
      <c r="X26" s="1">
        <v>200.0</v>
      </c>
      <c r="Z26" s="1" t="s">
        <v>5203</v>
      </c>
      <c r="AA26" s="1" t="s">
        <v>366</v>
      </c>
      <c r="AG26" s="5">
        <v>43298.0</v>
      </c>
    </row>
    <row r="27">
      <c r="A27" s="1">
        <v>828.0</v>
      </c>
      <c r="B27" s="1">
        <v>1.0</v>
      </c>
      <c r="C27" s="1" t="s">
        <v>5230</v>
      </c>
      <c r="D27" s="1" t="s">
        <v>5068</v>
      </c>
      <c r="F27" s="1" t="s">
        <v>5231</v>
      </c>
      <c r="G27" s="1" t="s">
        <v>5197</v>
      </c>
      <c r="H27" s="1" t="s">
        <v>5102</v>
      </c>
      <c r="I27" s="1" t="s">
        <v>18</v>
      </c>
      <c r="J27" s="1" t="s">
        <v>5071</v>
      </c>
      <c r="K27" s="6" t="s">
        <v>5232</v>
      </c>
      <c r="L27" s="6" t="s">
        <v>5233</v>
      </c>
      <c r="M27" s="1" t="s">
        <v>5234</v>
      </c>
      <c r="O27" s="5">
        <v>37257.0</v>
      </c>
      <c r="R27" s="1" t="b">
        <v>0</v>
      </c>
      <c r="S27" s="1">
        <v>0.0</v>
      </c>
      <c r="T27" s="1">
        <v>5.0</v>
      </c>
      <c r="U27" s="1" t="b">
        <v>0</v>
      </c>
      <c r="V27" s="1" t="s">
        <v>5235</v>
      </c>
      <c r="W27" s="1" t="s">
        <v>5236</v>
      </c>
      <c r="X27" s="1">
        <v>200.0</v>
      </c>
      <c r="Y27" s="1" t="s">
        <v>5075</v>
      </c>
      <c r="Z27" s="1" t="s">
        <v>5203</v>
      </c>
      <c r="AC27" s="1" t="s">
        <v>5077</v>
      </c>
      <c r="AD27" s="1" t="s">
        <v>5093</v>
      </c>
      <c r="AG27" s="5">
        <v>42860.0</v>
      </c>
      <c r="AH27" s="1">
        <v>67273.0</v>
      </c>
    </row>
    <row r="28">
      <c r="A28" s="1">
        <v>172641.0</v>
      </c>
      <c r="B28" s="1">
        <v>1.0</v>
      </c>
      <c r="C28" s="1" t="s">
        <v>5237</v>
      </c>
      <c r="D28" s="1" t="s">
        <v>5081</v>
      </c>
      <c r="F28" s="1" t="s">
        <v>5238</v>
      </c>
      <c r="G28" s="1" t="s">
        <v>5197</v>
      </c>
      <c r="H28" s="1" t="s">
        <v>5102</v>
      </c>
      <c r="I28" s="1" t="s">
        <v>18</v>
      </c>
      <c r="J28" s="1" t="s">
        <v>5071</v>
      </c>
      <c r="K28" s="6" t="s">
        <v>5239</v>
      </c>
      <c r="L28" s="6" t="s">
        <v>5240</v>
      </c>
      <c r="M28" s="1" t="s">
        <v>5241</v>
      </c>
      <c r="O28" s="5">
        <v>37257.0</v>
      </c>
      <c r="R28" s="1" t="b">
        <v>0</v>
      </c>
      <c r="S28" s="1">
        <v>0.0</v>
      </c>
      <c r="T28" s="1">
        <v>5.0</v>
      </c>
      <c r="U28" s="1" t="b">
        <v>0</v>
      </c>
      <c r="V28" s="1" t="s">
        <v>5235</v>
      </c>
      <c r="W28" s="1" t="s">
        <v>5236</v>
      </c>
      <c r="X28" s="1">
        <v>200.0</v>
      </c>
      <c r="Y28" s="1" t="s">
        <v>5142</v>
      </c>
      <c r="Z28" s="1" t="s">
        <v>5203</v>
      </c>
      <c r="AA28" s="1" t="s">
        <v>5231</v>
      </c>
      <c r="AG28" s="5">
        <v>43298.0</v>
      </c>
    </row>
    <row r="29">
      <c r="A29" s="1">
        <v>885.0</v>
      </c>
      <c r="B29" s="1">
        <v>1.0</v>
      </c>
      <c r="C29" s="1" t="s">
        <v>5242</v>
      </c>
      <c r="D29" s="1" t="s">
        <v>5068</v>
      </c>
      <c r="F29" s="1" t="s">
        <v>5243</v>
      </c>
      <c r="G29" s="1" t="s">
        <v>26</v>
      </c>
      <c r="H29" s="1" t="s">
        <v>5102</v>
      </c>
      <c r="I29" s="1" t="s">
        <v>18</v>
      </c>
      <c r="J29" s="1" t="s">
        <v>5071</v>
      </c>
      <c r="K29" s="6" t="s">
        <v>5244</v>
      </c>
      <c r="L29" s="6" t="s">
        <v>5245</v>
      </c>
      <c r="M29" s="1" t="s">
        <v>5246</v>
      </c>
      <c r="R29" s="1" t="b">
        <v>0</v>
      </c>
      <c r="S29" s="1">
        <v>0.0</v>
      </c>
      <c r="T29" s="1">
        <v>13.0</v>
      </c>
      <c r="U29" s="1" t="b">
        <v>0</v>
      </c>
      <c r="V29" s="1" t="s">
        <v>5247</v>
      </c>
      <c r="W29" s="1" t="s">
        <v>5248</v>
      </c>
      <c r="X29" s="1">
        <v>200.0</v>
      </c>
      <c r="Y29" s="1" t="s">
        <v>5075</v>
      </c>
      <c r="Z29" s="1" t="s">
        <v>5249</v>
      </c>
      <c r="AC29" s="1" t="s">
        <v>5077</v>
      </c>
      <c r="AD29" s="1" t="s">
        <v>5093</v>
      </c>
      <c r="AG29" s="5">
        <v>42860.0</v>
      </c>
      <c r="AH29" s="1">
        <v>67280.0</v>
      </c>
    </row>
    <row r="30">
      <c r="A30" s="1">
        <v>172658.0</v>
      </c>
      <c r="B30" s="1">
        <v>1.0</v>
      </c>
      <c r="C30" s="1" t="s">
        <v>5250</v>
      </c>
      <c r="D30" s="1" t="s">
        <v>5081</v>
      </c>
      <c r="F30" s="1" t="s">
        <v>5251</v>
      </c>
      <c r="G30" s="1" t="s">
        <v>26</v>
      </c>
      <c r="H30" s="1" t="s">
        <v>5102</v>
      </c>
      <c r="I30" s="1" t="s">
        <v>18</v>
      </c>
      <c r="J30" s="1" t="s">
        <v>5071</v>
      </c>
      <c r="K30" s="6" t="s">
        <v>5252</v>
      </c>
      <c r="L30" s="6" t="s">
        <v>5253</v>
      </c>
      <c r="M30" s="1" t="s">
        <v>5254</v>
      </c>
      <c r="R30" s="1" t="b">
        <v>0</v>
      </c>
      <c r="S30" s="1">
        <v>0.0</v>
      </c>
      <c r="T30" s="1">
        <v>13.0</v>
      </c>
      <c r="U30" s="1" t="b">
        <v>0</v>
      </c>
      <c r="V30" s="1" t="s">
        <v>5247</v>
      </c>
      <c r="W30" s="1" t="s">
        <v>5248</v>
      </c>
      <c r="X30" s="1">
        <v>200.0</v>
      </c>
      <c r="Z30" s="1" t="s">
        <v>5249</v>
      </c>
      <c r="AA30" s="1" t="s">
        <v>5243</v>
      </c>
      <c r="AG30" s="5">
        <v>43298.0</v>
      </c>
    </row>
    <row r="31">
      <c r="A31" s="1">
        <v>912.0</v>
      </c>
      <c r="B31" s="1">
        <v>0.0</v>
      </c>
      <c r="C31" s="1" t="s">
        <v>5255</v>
      </c>
      <c r="D31" s="1" t="s">
        <v>5068</v>
      </c>
      <c r="E31" s="5">
        <v>44126.0</v>
      </c>
      <c r="F31" s="1" t="s">
        <v>5256</v>
      </c>
      <c r="G31" s="1" t="s">
        <v>5257</v>
      </c>
      <c r="H31" s="1" t="s">
        <v>5102</v>
      </c>
      <c r="I31" s="1" t="s">
        <v>356</v>
      </c>
      <c r="J31" s="1" t="s">
        <v>202</v>
      </c>
      <c r="K31" s="6" t="s">
        <v>5258</v>
      </c>
      <c r="L31" s="6" t="s">
        <v>5259</v>
      </c>
      <c r="M31" s="1" t="s">
        <v>5260</v>
      </c>
      <c r="R31" s="1" t="b">
        <v>0</v>
      </c>
      <c r="S31" s="1">
        <v>0.0</v>
      </c>
      <c r="T31" s="1">
        <v>22.0</v>
      </c>
      <c r="U31" s="1" t="b">
        <v>0</v>
      </c>
      <c r="V31" s="1" t="s">
        <v>5261</v>
      </c>
      <c r="W31" s="1" t="s">
        <v>5262</v>
      </c>
      <c r="X31" s="1">
        <v>200.0</v>
      </c>
      <c r="Z31" s="1" t="s">
        <v>5100</v>
      </c>
      <c r="AG31" s="5">
        <v>42860.0</v>
      </c>
    </row>
    <row r="32">
      <c r="A32" s="1">
        <v>172511.0</v>
      </c>
      <c r="B32" s="1">
        <v>0.0</v>
      </c>
      <c r="C32" s="1" t="s">
        <v>5263</v>
      </c>
      <c r="D32" s="1" t="s">
        <v>5081</v>
      </c>
      <c r="E32" s="5">
        <v>44126.0</v>
      </c>
      <c r="F32" s="1" t="s">
        <v>5264</v>
      </c>
      <c r="G32" s="1" t="s">
        <v>5257</v>
      </c>
      <c r="H32" s="1" t="s">
        <v>5102</v>
      </c>
      <c r="I32" s="1" t="s">
        <v>356</v>
      </c>
      <c r="J32" s="1" t="s">
        <v>202</v>
      </c>
      <c r="K32" s="6" t="s">
        <v>5265</v>
      </c>
      <c r="L32" s="6" t="s">
        <v>5266</v>
      </c>
      <c r="M32" s="1" t="s">
        <v>5267</v>
      </c>
      <c r="R32" s="1" t="b">
        <v>0</v>
      </c>
      <c r="S32" s="1">
        <v>0.0</v>
      </c>
      <c r="T32" s="1">
        <v>22.0</v>
      </c>
      <c r="U32" s="1" t="b">
        <v>0</v>
      </c>
      <c r="V32" s="1" t="s">
        <v>5261</v>
      </c>
      <c r="W32" s="1" t="s">
        <v>5262</v>
      </c>
      <c r="X32" s="1">
        <v>200.0</v>
      </c>
      <c r="Z32" s="1" t="s">
        <v>5100</v>
      </c>
      <c r="AA32" s="1" t="s">
        <v>5256</v>
      </c>
      <c r="AG32" s="5">
        <v>43298.0</v>
      </c>
    </row>
    <row r="33">
      <c r="A33" s="1">
        <v>957.0</v>
      </c>
      <c r="B33" s="1">
        <v>0.0</v>
      </c>
      <c r="C33" s="1" t="s">
        <v>5268</v>
      </c>
      <c r="D33" s="1" t="s">
        <v>5068</v>
      </c>
      <c r="E33" s="5">
        <v>44373.0</v>
      </c>
      <c r="F33" s="1" t="s">
        <v>5269</v>
      </c>
      <c r="G33" s="1" t="s">
        <v>5115</v>
      </c>
      <c r="H33" s="1" t="s">
        <v>5102</v>
      </c>
      <c r="I33" s="1" t="s">
        <v>356</v>
      </c>
      <c r="J33" s="1" t="s">
        <v>70</v>
      </c>
      <c r="K33" s="6" t="s">
        <v>5270</v>
      </c>
      <c r="L33" s="6" t="s">
        <v>5271</v>
      </c>
      <c r="M33" s="1" t="s">
        <v>5272</v>
      </c>
      <c r="O33" s="5">
        <v>33970.0</v>
      </c>
      <c r="Q33" s="5">
        <v>44378.0</v>
      </c>
      <c r="R33" s="1" t="b">
        <v>0</v>
      </c>
      <c r="S33" s="1">
        <v>0.0</v>
      </c>
      <c r="T33" s="1">
        <v>27.0</v>
      </c>
      <c r="U33" s="1" t="b">
        <v>0</v>
      </c>
      <c r="V33" s="1" t="s">
        <v>5273</v>
      </c>
      <c r="W33" s="1" t="s">
        <v>5274</v>
      </c>
      <c r="X33" s="1">
        <v>200.0</v>
      </c>
      <c r="Y33" s="1" t="s">
        <v>5075</v>
      </c>
      <c r="Z33" s="1" t="s">
        <v>3832</v>
      </c>
      <c r="AC33" s="1" t="s">
        <v>5077</v>
      </c>
      <c r="AD33" s="1" t="s">
        <v>5093</v>
      </c>
      <c r="AG33" s="5">
        <v>42860.0</v>
      </c>
      <c r="AH33" s="1">
        <v>36045.0</v>
      </c>
    </row>
    <row r="34">
      <c r="A34" s="1">
        <v>984.0</v>
      </c>
      <c r="B34" s="1">
        <v>0.0</v>
      </c>
      <c r="C34" s="1" t="s">
        <v>547</v>
      </c>
      <c r="D34" s="1" t="s">
        <v>5068</v>
      </c>
      <c r="E34" s="5">
        <v>44678.0</v>
      </c>
      <c r="F34" s="1" t="s">
        <v>548</v>
      </c>
      <c r="G34" s="1" t="s">
        <v>5275</v>
      </c>
      <c r="H34" s="1" t="s">
        <v>5102</v>
      </c>
      <c r="I34" s="1" t="s">
        <v>18</v>
      </c>
      <c r="J34" s="1" t="s">
        <v>202</v>
      </c>
      <c r="K34" s="6" t="s">
        <v>5276</v>
      </c>
      <c r="L34" s="6" t="s">
        <v>5277</v>
      </c>
      <c r="M34" s="1" t="s">
        <v>5278</v>
      </c>
      <c r="R34" s="1" t="b">
        <v>0</v>
      </c>
      <c r="S34" s="1">
        <v>0.0</v>
      </c>
      <c r="T34" s="1">
        <v>45.0</v>
      </c>
      <c r="U34" s="1" t="b">
        <v>0</v>
      </c>
      <c r="V34" s="1" t="s">
        <v>5279</v>
      </c>
      <c r="W34" s="1" t="s">
        <v>5280</v>
      </c>
      <c r="X34" s="1">
        <v>200.0</v>
      </c>
      <c r="Z34" s="1" t="s">
        <v>2058</v>
      </c>
      <c r="AG34" s="5">
        <v>42860.0</v>
      </c>
    </row>
    <row r="35">
      <c r="A35" s="1">
        <v>172373.0</v>
      </c>
      <c r="B35" s="1">
        <v>0.0</v>
      </c>
      <c r="C35" s="1" t="s">
        <v>5281</v>
      </c>
      <c r="D35" s="1" t="s">
        <v>5081</v>
      </c>
      <c r="E35" s="5">
        <v>44678.0</v>
      </c>
      <c r="F35" s="1" t="s">
        <v>5282</v>
      </c>
      <c r="G35" s="1" t="s">
        <v>5275</v>
      </c>
      <c r="H35" s="1" t="s">
        <v>5102</v>
      </c>
      <c r="I35" s="1" t="s">
        <v>18</v>
      </c>
      <c r="J35" s="1" t="s">
        <v>202</v>
      </c>
      <c r="K35" s="6" t="s">
        <v>5283</v>
      </c>
      <c r="L35" s="6" t="s">
        <v>5284</v>
      </c>
      <c r="M35" s="1" t="s">
        <v>5285</v>
      </c>
      <c r="R35" s="1" t="b">
        <v>0</v>
      </c>
      <c r="S35" s="1">
        <v>0.0</v>
      </c>
      <c r="T35" s="1">
        <v>45.0</v>
      </c>
      <c r="U35" s="1" t="b">
        <v>0</v>
      </c>
      <c r="V35" s="1" t="s">
        <v>5279</v>
      </c>
      <c r="W35" s="1" t="s">
        <v>5280</v>
      </c>
      <c r="X35" s="1">
        <v>200.0</v>
      </c>
      <c r="Y35" s="1" t="s">
        <v>5075</v>
      </c>
      <c r="Z35" s="1" t="s">
        <v>2058</v>
      </c>
      <c r="AA35" s="1" t="s">
        <v>548</v>
      </c>
      <c r="AG35" s="5">
        <v>43298.0</v>
      </c>
    </row>
    <row r="36">
      <c r="A36" s="1">
        <v>1028.0</v>
      </c>
      <c r="B36" s="1">
        <v>1.0</v>
      </c>
      <c r="C36" s="1" t="s">
        <v>5286</v>
      </c>
      <c r="D36" s="1" t="s">
        <v>5068</v>
      </c>
      <c r="F36" s="1" t="s">
        <v>5287</v>
      </c>
      <c r="G36" s="1" t="s">
        <v>5115</v>
      </c>
      <c r="H36" s="1" t="s">
        <v>5102</v>
      </c>
      <c r="I36" s="1" t="s">
        <v>18</v>
      </c>
      <c r="J36" s="1" t="s">
        <v>24</v>
      </c>
      <c r="K36" s="6" t="s">
        <v>5288</v>
      </c>
      <c r="L36" s="6" t="s">
        <v>5289</v>
      </c>
      <c r="M36" s="1" t="s">
        <v>5290</v>
      </c>
      <c r="O36" s="5">
        <v>34335.0</v>
      </c>
      <c r="R36" s="1" t="b">
        <v>0</v>
      </c>
      <c r="S36" s="1">
        <v>0.0</v>
      </c>
      <c r="T36" s="1">
        <v>55.0</v>
      </c>
      <c r="U36" s="1" t="b">
        <v>0</v>
      </c>
      <c r="V36" s="1" t="s">
        <v>5291</v>
      </c>
      <c r="W36" s="1" t="s">
        <v>5292</v>
      </c>
      <c r="X36" s="1">
        <v>200.0</v>
      </c>
      <c r="Y36" s="1" t="s">
        <v>5142</v>
      </c>
      <c r="Z36" s="1" t="s">
        <v>49</v>
      </c>
      <c r="AC36" s="1" t="s">
        <v>5077</v>
      </c>
      <c r="AD36" s="1" t="s">
        <v>5093</v>
      </c>
      <c r="AG36" s="5">
        <v>42860.0</v>
      </c>
      <c r="AH36" s="1">
        <v>67181.0</v>
      </c>
    </row>
    <row r="37">
      <c r="A37" s="1">
        <v>1036.0</v>
      </c>
      <c r="B37" s="1">
        <v>0.0</v>
      </c>
      <c r="C37" s="1" t="s">
        <v>5293</v>
      </c>
      <c r="D37" s="1" t="s">
        <v>5068</v>
      </c>
      <c r="F37" s="1" t="s">
        <v>5294</v>
      </c>
      <c r="G37" s="1" t="s">
        <v>5295</v>
      </c>
      <c r="H37" s="1" t="s">
        <v>5102</v>
      </c>
      <c r="I37" s="1" t="s">
        <v>356</v>
      </c>
      <c r="J37" s="1" t="s">
        <v>24</v>
      </c>
      <c r="K37" s="6" t="s">
        <v>5296</v>
      </c>
      <c r="L37" s="6" t="s">
        <v>5297</v>
      </c>
      <c r="M37" s="1" t="s">
        <v>5298</v>
      </c>
      <c r="O37" s="5">
        <v>32509.0</v>
      </c>
      <c r="R37" s="1" t="b">
        <v>0</v>
      </c>
      <c r="S37" s="1">
        <v>0.0</v>
      </c>
      <c r="T37" s="1">
        <v>55.0</v>
      </c>
      <c r="U37" s="1" t="b">
        <v>0</v>
      </c>
      <c r="V37" s="1" t="s">
        <v>5299</v>
      </c>
      <c r="W37" s="1" t="s">
        <v>5300</v>
      </c>
      <c r="X37" s="1">
        <v>200.0</v>
      </c>
      <c r="Z37" s="1" t="s">
        <v>49</v>
      </c>
      <c r="AG37" s="5">
        <v>42860.0</v>
      </c>
    </row>
    <row r="38">
      <c r="A38" s="1">
        <v>1044.0</v>
      </c>
      <c r="B38" s="1">
        <v>1.0</v>
      </c>
      <c r="C38" s="1" t="s">
        <v>5301</v>
      </c>
      <c r="D38" s="1" t="s">
        <v>5068</v>
      </c>
      <c r="E38" s="5">
        <v>43845.0</v>
      </c>
      <c r="F38" s="1" t="s">
        <v>5302</v>
      </c>
      <c r="G38" s="1" t="s">
        <v>5115</v>
      </c>
      <c r="H38" s="1" t="s">
        <v>5102</v>
      </c>
      <c r="I38" s="1" t="s">
        <v>18</v>
      </c>
      <c r="J38" s="1" t="s">
        <v>21</v>
      </c>
      <c r="K38" s="6" t="s">
        <v>5303</v>
      </c>
      <c r="L38" s="6" t="s">
        <v>5304</v>
      </c>
      <c r="M38" s="1" t="s">
        <v>5305</v>
      </c>
      <c r="O38" s="5">
        <v>40179.0</v>
      </c>
      <c r="R38" s="1" t="b">
        <v>0</v>
      </c>
      <c r="S38" s="1">
        <v>0.0</v>
      </c>
      <c r="T38" s="1">
        <v>61.0</v>
      </c>
      <c r="U38" s="1" t="b">
        <v>0</v>
      </c>
      <c r="V38" s="1" t="s">
        <v>5306</v>
      </c>
      <c r="W38" s="1" t="s">
        <v>5307</v>
      </c>
      <c r="X38" s="1">
        <v>200.0</v>
      </c>
      <c r="Y38" s="1" t="s">
        <v>5142</v>
      </c>
      <c r="Z38" s="1" t="s">
        <v>5308</v>
      </c>
      <c r="AC38" s="1" t="s">
        <v>5077</v>
      </c>
      <c r="AD38" s="1" t="s">
        <v>5093</v>
      </c>
      <c r="AG38" s="5">
        <v>42860.0</v>
      </c>
      <c r="AH38" s="1">
        <v>168067.0</v>
      </c>
    </row>
    <row r="39">
      <c r="A39" s="1">
        <v>1106.0</v>
      </c>
      <c r="B39" s="1">
        <v>0.0</v>
      </c>
      <c r="C39" s="1" t="s">
        <v>5309</v>
      </c>
      <c r="D39" s="1" t="s">
        <v>5068</v>
      </c>
      <c r="F39" s="1" t="s">
        <v>5310</v>
      </c>
      <c r="G39" s="1" t="s">
        <v>5115</v>
      </c>
      <c r="H39" s="1" t="s">
        <v>5102</v>
      </c>
      <c r="I39" s="1" t="s">
        <v>356</v>
      </c>
      <c r="J39" s="1" t="s">
        <v>14</v>
      </c>
      <c r="K39" s="6" t="s">
        <v>5311</v>
      </c>
      <c r="L39" s="6" t="s">
        <v>5312</v>
      </c>
      <c r="M39" s="1" t="s">
        <v>5313</v>
      </c>
      <c r="R39" s="1" t="b">
        <v>0</v>
      </c>
      <c r="S39" s="1">
        <v>0.0</v>
      </c>
      <c r="T39" s="1">
        <v>74.0</v>
      </c>
      <c r="U39" s="1" t="b">
        <v>0</v>
      </c>
      <c r="V39" s="1" t="s">
        <v>5314</v>
      </c>
      <c r="W39" s="1" t="s">
        <v>5315</v>
      </c>
      <c r="X39" s="1">
        <v>200.0</v>
      </c>
      <c r="Y39" s="1" t="s">
        <v>5075</v>
      </c>
      <c r="Z39" s="1" t="s">
        <v>5316</v>
      </c>
      <c r="AG39" s="5">
        <v>42860.0</v>
      </c>
    </row>
    <row r="40">
      <c r="A40" s="1">
        <v>1171.0</v>
      </c>
      <c r="B40" s="1">
        <v>1.0</v>
      </c>
      <c r="C40" s="1" t="s">
        <v>5317</v>
      </c>
      <c r="D40" s="1" t="s">
        <v>5068</v>
      </c>
      <c r="F40" s="1" t="s">
        <v>5318</v>
      </c>
      <c r="G40" s="1" t="s">
        <v>5115</v>
      </c>
      <c r="H40" s="1" t="s">
        <v>5102</v>
      </c>
      <c r="I40" s="1" t="s">
        <v>18</v>
      </c>
      <c r="J40" s="1" t="s">
        <v>70</v>
      </c>
      <c r="K40" s="6" t="s">
        <v>5319</v>
      </c>
      <c r="L40" s="6" t="s">
        <v>5320</v>
      </c>
      <c r="M40" s="1" t="s">
        <v>5321</v>
      </c>
      <c r="O40" s="5">
        <v>36892.0</v>
      </c>
      <c r="R40" s="1" t="b">
        <v>0</v>
      </c>
      <c r="S40" s="1">
        <v>0.0</v>
      </c>
      <c r="T40" s="1">
        <v>107.0</v>
      </c>
      <c r="U40" s="1" t="b">
        <v>0</v>
      </c>
      <c r="V40" s="1" t="s">
        <v>5126</v>
      </c>
      <c r="W40" s="1" t="s">
        <v>5322</v>
      </c>
      <c r="X40" s="1">
        <v>200.0</v>
      </c>
      <c r="Y40" s="1" t="s">
        <v>5075</v>
      </c>
      <c r="Z40" s="1" t="s">
        <v>5323</v>
      </c>
      <c r="AC40" s="1" t="s">
        <v>5077</v>
      </c>
      <c r="AD40" s="1" t="s">
        <v>5093</v>
      </c>
      <c r="AG40" s="5">
        <v>42860.0</v>
      </c>
      <c r="AH40" s="1">
        <v>67012.0</v>
      </c>
    </row>
    <row r="41">
      <c r="A41" s="1">
        <v>1173.0</v>
      </c>
      <c r="B41" s="1">
        <v>1.0</v>
      </c>
      <c r="C41" s="1" t="s">
        <v>5324</v>
      </c>
      <c r="D41" s="1" t="s">
        <v>5068</v>
      </c>
      <c r="F41" s="1" t="s">
        <v>5325</v>
      </c>
      <c r="G41" s="1" t="s">
        <v>5326</v>
      </c>
      <c r="H41" s="1" t="s">
        <v>5102</v>
      </c>
      <c r="I41" s="1" t="s">
        <v>18</v>
      </c>
      <c r="J41" s="1" t="s">
        <v>70</v>
      </c>
      <c r="K41" s="6" t="s">
        <v>5327</v>
      </c>
      <c r="L41" s="6" t="s">
        <v>5328</v>
      </c>
      <c r="M41" s="1" t="s">
        <v>5329</v>
      </c>
      <c r="O41" s="5">
        <v>36892.0</v>
      </c>
      <c r="R41" s="1" t="b">
        <v>0</v>
      </c>
      <c r="S41" s="1">
        <v>0.0</v>
      </c>
      <c r="T41" s="1">
        <v>107.0</v>
      </c>
      <c r="U41" s="1" t="b">
        <v>0</v>
      </c>
      <c r="V41" s="1" t="s">
        <v>5126</v>
      </c>
      <c r="W41" s="1" t="s">
        <v>5330</v>
      </c>
      <c r="X41" s="1">
        <v>200.0</v>
      </c>
      <c r="Y41" s="1" t="s">
        <v>5142</v>
      </c>
      <c r="Z41" s="1" t="s">
        <v>5323</v>
      </c>
      <c r="AC41" s="1" t="s">
        <v>5077</v>
      </c>
      <c r="AD41" s="1" t="s">
        <v>5093</v>
      </c>
      <c r="AG41" s="5">
        <v>42860.0</v>
      </c>
      <c r="AH41" s="1">
        <v>67004.0</v>
      </c>
    </row>
    <row r="42">
      <c r="A42" s="1">
        <v>1174.0</v>
      </c>
      <c r="B42" s="1">
        <v>1.0</v>
      </c>
      <c r="C42" s="1" t="s">
        <v>5331</v>
      </c>
      <c r="D42" s="1" t="s">
        <v>5068</v>
      </c>
      <c r="F42" s="1" t="s">
        <v>5332</v>
      </c>
      <c r="G42" s="1" t="s">
        <v>5115</v>
      </c>
      <c r="H42" s="1" t="s">
        <v>5102</v>
      </c>
      <c r="I42" s="1" t="s">
        <v>18</v>
      </c>
      <c r="J42" s="1" t="s">
        <v>70</v>
      </c>
      <c r="K42" s="6" t="s">
        <v>5333</v>
      </c>
      <c r="L42" s="6" t="s">
        <v>5334</v>
      </c>
      <c r="M42" s="1" t="s">
        <v>5335</v>
      </c>
      <c r="O42" s="5">
        <v>36892.0</v>
      </c>
      <c r="R42" s="1" t="b">
        <v>0</v>
      </c>
      <c r="S42" s="1">
        <v>0.0</v>
      </c>
      <c r="T42" s="1">
        <v>107.0</v>
      </c>
      <c r="U42" s="1" t="b">
        <v>0</v>
      </c>
      <c r="V42" s="1" t="s">
        <v>5336</v>
      </c>
      <c r="W42" s="1" t="s">
        <v>5337</v>
      </c>
      <c r="X42" s="1">
        <v>200.0</v>
      </c>
      <c r="Y42" s="1" t="s">
        <v>5142</v>
      </c>
      <c r="Z42" s="1" t="s">
        <v>5323</v>
      </c>
      <c r="AC42" s="1" t="s">
        <v>5077</v>
      </c>
      <c r="AD42" s="1" t="s">
        <v>5093</v>
      </c>
      <c r="AG42" s="5">
        <v>42860.0</v>
      </c>
      <c r="AH42" s="1">
        <v>67040.0</v>
      </c>
    </row>
    <row r="43">
      <c r="A43" s="1">
        <v>1176.0</v>
      </c>
      <c r="B43" s="1">
        <v>0.0</v>
      </c>
      <c r="C43" s="1" t="s">
        <v>5338</v>
      </c>
      <c r="D43" s="1" t="s">
        <v>5068</v>
      </c>
      <c r="F43" s="1" t="s">
        <v>5339</v>
      </c>
      <c r="G43" s="1" t="s">
        <v>5115</v>
      </c>
      <c r="H43" s="1" t="s">
        <v>5116</v>
      </c>
      <c r="I43" s="1" t="s">
        <v>18</v>
      </c>
      <c r="J43" s="1" t="s">
        <v>70</v>
      </c>
      <c r="K43" s="6" t="s">
        <v>5340</v>
      </c>
      <c r="L43" s="6" t="s">
        <v>5341</v>
      </c>
      <c r="M43" s="1" t="s">
        <v>5342</v>
      </c>
      <c r="R43" s="1" t="b">
        <v>0</v>
      </c>
      <c r="S43" s="1">
        <v>0.0</v>
      </c>
      <c r="T43" s="1">
        <v>107.0</v>
      </c>
      <c r="U43" s="1" t="b">
        <v>0</v>
      </c>
      <c r="V43" s="1" t="s">
        <v>5343</v>
      </c>
      <c r="X43" s="1">
        <v>200.0</v>
      </c>
      <c r="Y43" s="1" t="s">
        <v>5075</v>
      </c>
      <c r="Z43" s="1" t="s">
        <v>5323</v>
      </c>
      <c r="AG43" s="5">
        <v>42860.0</v>
      </c>
    </row>
    <row r="44">
      <c r="A44" s="1">
        <v>1177.0</v>
      </c>
      <c r="B44" s="1">
        <v>1.0</v>
      </c>
      <c r="C44" s="1" t="s">
        <v>5344</v>
      </c>
      <c r="D44" s="1" t="s">
        <v>5068</v>
      </c>
      <c r="F44" s="1" t="s">
        <v>5345</v>
      </c>
      <c r="G44" s="1" t="s">
        <v>5115</v>
      </c>
      <c r="H44" s="1" t="s">
        <v>5102</v>
      </c>
      <c r="I44" s="1" t="s">
        <v>18</v>
      </c>
      <c r="J44" s="1" t="s">
        <v>70</v>
      </c>
      <c r="K44" s="6" t="s">
        <v>5346</v>
      </c>
      <c r="L44" s="6" t="s">
        <v>5347</v>
      </c>
      <c r="M44" s="1" t="s">
        <v>5348</v>
      </c>
      <c r="O44" s="5">
        <v>36892.0</v>
      </c>
      <c r="R44" s="1" t="b">
        <v>0</v>
      </c>
      <c r="S44" s="1">
        <v>0.0</v>
      </c>
      <c r="T44" s="1">
        <v>107.0</v>
      </c>
      <c r="U44" s="1" t="b">
        <v>0</v>
      </c>
      <c r="V44" s="1" t="s">
        <v>5349</v>
      </c>
      <c r="W44" s="1" t="s">
        <v>5350</v>
      </c>
      <c r="X44" s="1">
        <v>200.0</v>
      </c>
      <c r="Y44" s="1" t="s">
        <v>5075</v>
      </c>
      <c r="Z44" s="1" t="s">
        <v>5323</v>
      </c>
      <c r="AC44" s="1" t="s">
        <v>5077</v>
      </c>
      <c r="AD44" s="1" t="s">
        <v>5093</v>
      </c>
      <c r="AG44" s="5">
        <v>42860.0</v>
      </c>
      <c r="AH44" s="1">
        <v>67003.0</v>
      </c>
    </row>
    <row r="45">
      <c r="A45" s="1">
        <v>1179.0</v>
      </c>
      <c r="B45" s="1">
        <v>1.0</v>
      </c>
      <c r="C45" s="1" t="s">
        <v>768</v>
      </c>
      <c r="D45" s="1" t="s">
        <v>5068</v>
      </c>
      <c r="E45" s="5">
        <v>44569.0</v>
      </c>
      <c r="F45" s="1" t="s">
        <v>769</v>
      </c>
      <c r="G45" s="1" t="s">
        <v>5115</v>
      </c>
      <c r="H45" s="1" t="s">
        <v>5102</v>
      </c>
      <c r="I45" s="1" t="s">
        <v>18</v>
      </c>
      <c r="J45" s="1" t="s">
        <v>70</v>
      </c>
      <c r="K45" s="6" t="s">
        <v>5351</v>
      </c>
      <c r="L45" s="6" t="s">
        <v>5352</v>
      </c>
      <c r="M45" s="1" t="s">
        <v>5353</v>
      </c>
      <c r="O45" s="5">
        <v>36892.0</v>
      </c>
      <c r="R45" s="1" t="b">
        <v>0</v>
      </c>
      <c r="S45" s="1">
        <v>0.0</v>
      </c>
      <c r="T45" s="1">
        <v>107.0</v>
      </c>
      <c r="U45" s="1" t="b">
        <v>0</v>
      </c>
      <c r="V45" s="1" t="s">
        <v>5354</v>
      </c>
      <c r="W45" s="1" t="s">
        <v>5355</v>
      </c>
      <c r="X45" s="1">
        <v>200.0</v>
      </c>
      <c r="Y45" s="1" t="s">
        <v>5075</v>
      </c>
      <c r="Z45" s="1" t="s">
        <v>5323</v>
      </c>
      <c r="AC45" s="1" t="s">
        <v>5077</v>
      </c>
      <c r="AD45" s="1" t="s">
        <v>5093</v>
      </c>
      <c r="AG45" s="5">
        <v>42860.0</v>
      </c>
      <c r="AH45" s="1">
        <v>343342.0</v>
      </c>
    </row>
    <row r="46">
      <c r="A46" s="1">
        <v>1180.0</v>
      </c>
      <c r="B46" s="1">
        <v>0.0</v>
      </c>
      <c r="C46" s="1" t="s">
        <v>5356</v>
      </c>
      <c r="D46" s="1" t="s">
        <v>5068</v>
      </c>
      <c r="F46" s="1" t="s">
        <v>5357</v>
      </c>
      <c r="G46" s="1" t="s">
        <v>26</v>
      </c>
      <c r="H46" s="1" t="s">
        <v>5102</v>
      </c>
      <c r="I46" s="1" t="s">
        <v>18</v>
      </c>
      <c r="J46" s="1" t="s">
        <v>70</v>
      </c>
      <c r="K46" s="6" t="s">
        <v>5358</v>
      </c>
      <c r="L46" s="6" t="s">
        <v>5359</v>
      </c>
      <c r="M46" s="1" t="s">
        <v>5360</v>
      </c>
      <c r="O46" s="5">
        <v>36892.0</v>
      </c>
      <c r="R46" s="1" t="b">
        <v>0</v>
      </c>
      <c r="S46" s="1">
        <v>0.0</v>
      </c>
      <c r="T46" s="1">
        <v>107.0</v>
      </c>
      <c r="U46" s="1" t="b">
        <v>0</v>
      </c>
      <c r="V46" s="1" t="s">
        <v>5361</v>
      </c>
      <c r="W46" s="1" t="s">
        <v>5362</v>
      </c>
      <c r="X46" s="1">
        <v>200.0</v>
      </c>
      <c r="Y46" s="1" t="s">
        <v>5075</v>
      </c>
      <c r="Z46" s="1" t="s">
        <v>5323</v>
      </c>
      <c r="AG46" s="5">
        <v>42860.0</v>
      </c>
    </row>
    <row r="47">
      <c r="A47" s="1">
        <v>1208.0</v>
      </c>
      <c r="B47" s="1">
        <v>0.0</v>
      </c>
      <c r="C47" s="1" t="s">
        <v>532</v>
      </c>
      <c r="D47" s="1" t="s">
        <v>5068</v>
      </c>
      <c r="E47" s="5">
        <v>44688.0</v>
      </c>
      <c r="F47" s="1" t="s">
        <v>533</v>
      </c>
      <c r="G47" s="1" t="s">
        <v>26</v>
      </c>
      <c r="H47" s="1" t="s">
        <v>5102</v>
      </c>
      <c r="I47" s="1" t="s">
        <v>18</v>
      </c>
      <c r="J47" s="1" t="s">
        <v>70</v>
      </c>
      <c r="K47" s="6" t="s">
        <v>5363</v>
      </c>
      <c r="L47" s="6" t="s">
        <v>5364</v>
      </c>
      <c r="M47" s="1" t="s">
        <v>5365</v>
      </c>
      <c r="R47" s="1" t="b">
        <v>0</v>
      </c>
      <c r="S47" s="1">
        <v>0.0</v>
      </c>
      <c r="T47" s="1">
        <v>1.0</v>
      </c>
      <c r="U47" s="1" t="b">
        <v>0</v>
      </c>
      <c r="V47" s="1" t="s">
        <v>5366</v>
      </c>
      <c r="W47" s="1" t="s">
        <v>5367</v>
      </c>
      <c r="X47" s="1">
        <v>200.0</v>
      </c>
      <c r="Y47" s="1" t="s">
        <v>5075</v>
      </c>
      <c r="Z47" s="1" t="s">
        <v>3286</v>
      </c>
      <c r="AG47" s="5">
        <v>42860.0</v>
      </c>
    </row>
    <row r="48">
      <c r="A48" s="1">
        <v>1284.0</v>
      </c>
      <c r="B48" s="1">
        <v>0.0</v>
      </c>
      <c r="C48" s="1" t="s">
        <v>741</v>
      </c>
      <c r="D48" s="1" t="s">
        <v>5068</v>
      </c>
      <c r="E48" s="5">
        <v>44545.0</v>
      </c>
      <c r="F48" s="1" t="s">
        <v>742</v>
      </c>
      <c r="G48" s="1" t="s">
        <v>5368</v>
      </c>
      <c r="H48" s="1" t="s">
        <v>5102</v>
      </c>
      <c r="I48" s="1" t="s">
        <v>18</v>
      </c>
      <c r="J48" s="1" t="s">
        <v>21</v>
      </c>
      <c r="K48" s="6" t="s">
        <v>5369</v>
      </c>
      <c r="L48" s="6" t="s">
        <v>5370</v>
      </c>
      <c r="M48" s="1" t="s">
        <v>5371</v>
      </c>
      <c r="O48" s="5">
        <v>39448.0</v>
      </c>
      <c r="R48" s="1" t="b">
        <v>0</v>
      </c>
      <c r="S48" s="1">
        <v>0.0</v>
      </c>
      <c r="T48" s="1">
        <v>190.0</v>
      </c>
      <c r="U48" s="1" t="b">
        <v>0</v>
      </c>
      <c r="V48" s="1" t="s">
        <v>5372</v>
      </c>
      <c r="W48" s="1" t="s">
        <v>5373</v>
      </c>
      <c r="X48" s="1">
        <v>200.0</v>
      </c>
      <c r="Y48" s="1" t="s">
        <v>5075</v>
      </c>
      <c r="Z48" s="1" t="s">
        <v>3999</v>
      </c>
      <c r="AG48" s="5">
        <v>42860.0</v>
      </c>
    </row>
    <row r="49">
      <c r="A49" s="1">
        <v>1289.0</v>
      </c>
      <c r="B49" s="1">
        <v>0.0</v>
      </c>
      <c r="C49" s="1" t="s">
        <v>5374</v>
      </c>
      <c r="D49" s="1" t="s">
        <v>5068</v>
      </c>
      <c r="F49" s="1" t="s">
        <v>5375</v>
      </c>
      <c r="G49" s="1" t="s">
        <v>5115</v>
      </c>
      <c r="H49" s="1" t="s">
        <v>5102</v>
      </c>
      <c r="I49" s="1" t="s">
        <v>356</v>
      </c>
      <c r="J49" s="1" t="s">
        <v>70</v>
      </c>
      <c r="K49" s="6" t="s">
        <v>5376</v>
      </c>
      <c r="L49" s="6" t="s">
        <v>5377</v>
      </c>
      <c r="M49" s="1" t="s">
        <v>5378</v>
      </c>
      <c r="O49" s="5">
        <v>37622.0</v>
      </c>
      <c r="R49" s="1" t="b">
        <v>0</v>
      </c>
      <c r="S49" s="1">
        <v>0.0</v>
      </c>
      <c r="T49" s="1">
        <v>193.0</v>
      </c>
      <c r="U49" s="1" t="b">
        <v>0</v>
      </c>
      <c r="V49" s="1" t="s">
        <v>5379</v>
      </c>
      <c r="W49" s="1" t="s">
        <v>5380</v>
      </c>
      <c r="X49" s="1">
        <v>200.0</v>
      </c>
      <c r="Y49" s="1" t="s">
        <v>5075</v>
      </c>
      <c r="Z49" s="1" t="s">
        <v>5381</v>
      </c>
      <c r="AG49" s="5">
        <v>42860.0</v>
      </c>
    </row>
    <row r="50">
      <c r="A50" s="1">
        <v>1301.0</v>
      </c>
      <c r="B50" s="1">
        <v>1.0</v>
      </c>
      <c r="C50" s="1" t="s">
        <v>613</v>
      </c>
      <c r="D50" s="1" t="s">
        <v>5068</v>
      </c>
      <c r="E50" s="5">
        <v>44645.0</v>
      </c>
      <c r="F50" s="1" t="s">
        <v>614</v>
      </c>
      <c r="G50" s="1" t="s">
        <v>26</v>
      </c>
      <c r="H50" s="1" t="s">
        <v>5102</v>
      </c>
      <c r="I50" s="1" t="s">
        <v>356</v>
      </c>
      <c r="J50" s="1" t="s">
        <v>5149</v>
      </c>
      <c r="K50" s="6" t="s">
        <v>5382</v>
      </c>
      <c r="L50" s="6" t="s">
        <v>5383</v>
      </c>
      <c r="M50" s="1" t="s">
        <v>5384</v>
      </c>
      <c r="O50" s="5">
        <v>37622.0</v>
      </c>
      <c r="Q50" s="5">
        <v>44645.0</v>
      </c>
      <c r="R50" s="1" t="b">
        <v>0</v>
      </c>
      <c r="S50" s="1">
        <v>0.0</v>
      </c>
      <c r="T50" s="1">
        <v>201.0</v>
      </c>
      <c r="U50" s="1" t="b">
        <v>0</v>
      </c>
      <c r="V50" s="1" t="s">
        <v>5132</v>
      </c>
      <c r="W50" s="1" t="s">
        <v>5385</v>
      </c>
      <c r="X50" s="1">
        <v>200.0</v>
      </c>
      <c r="Y50" s="1" t="s">
        <v>5075</v>
      </c>
      <c r="Z50" s="1" t="s">
        <v>5386</v>
      </c>
      <c r="AC50" s="1" t="s">
        <v>5077</v>
      </c>
      <c r="AD50" s="1" t="s">
        <v>5093</v>
      </c>
      <c r="AG50" s="5">
        <v>42860.0</v>
      </c>
      <c r="AH50" s="1">
        <v>314949.0</v>
      </c>
    </row>
    <row r="51">
      <c r="A51" s="1">
        <v>1306.0</v>
      </c>
      <c r="B51" s="1">
        <v>0.0</v>
      </c>
      <c r="C51" s="1" t="s">
        <v>5387</v>
      </c>
      <c r="D51" s="1" t="s">
        <v>5068</v>
      </c>
      <c r="E51" s="5">
        <v>43406.0</v>
      </c>
      <c r="F51" s="1" t="s">
        <v>5388</v>
      </c>
      <c r="G51" s="1" t="s">
        <v>5115</v>
      </c>
      <c r="H51" s="1" t="s">
        <v>5102</v>
      </c>
      <c r="I51" s="1" t="s">
        <v>356</v>
      </c>
      <c r="J51" s="1" t="s">
        <v>5149</v>
      </c>
      <c r="K51" s="6" t="s">
        <v>5389</v>
      </c>
      <c r="L51" s="6" t="s">
        <v>5390</v>
      </c>
      <c r="M51" s="1" t="s">
        <v>5391</v>
      </c>
      <c r="O51" s="5">
        <v>37257.0</v>
      </c>
      <c r="Q51" s="5">
        <v>43587.0</v>
      </c>
      <c r="R51" s="1" t="b">
        <v>0</v>
      </c>
      <c r="S51" s="1">
        <v>0.0</v>
      </c>
      <c r="T51" s="1">
        <v>201.0</v>
      </c>
      <c r="U51" s="1" t="b">
        <v>0</v>
      </c>
      <c r="V51" s="1" t="s">
        <v>5392</v>
      </c>
      <c r="W51" s="1" t="s">
        <v>5393</v>
      </c>
      <c r="X51" s="1">
        <v>200.0</v>
      </c>
      <c r="Y51" s="1" t="s">
        <v>5075</v>
      </c>
      <c r="Z51" s="1" t="s">
        <v>5386</v>
      </c>
      <c r="AC51" s="1" t="s">
        <v>5077</v>
      </c>
      <c r="AD51" s="1" t="s">
        <v>5093</v>
      </c>
      <c r="AG51" s="5">
        <v>42860.0</v>
      </c>
      <c r="AH51" s="1">
        <v>67500.0</v>
      </c>
    </row>
    <row r="52">
      <c r="A52" s="1">
        <v>1382.0</v>
      </c>
      <c r="B52" s="1">
        <v>1.0</v>
      </c>
      <c r="C52" s="1" t="s">
        <v>5394</v>
      </c>
      <c r="D52" s="1" t="s">
        <v>5068</v>
      </c>
      <c r="F52" s="1" t="s">
        <v>5395</v>
      </c>
      <c r="G52" s="1" t="s">
        <v>5115</v>
      </c>
      <c r="H52" s="1" t="s">
        <v>5102</v>
      </c>
      <c r="I52" s="1" t="s">
        <v>18</v>
      </c>
      <c r="J52" s="1" t="s">
        <v>557</v>
      </c>
      <c r="K52" s="6" t="s">
        <v>5396</v>
      </c>
      <c r="L52" s="6" t="s">
        <v>5397</v>
      </c>
      <c r="M52" s="1" t="s">
        <v>5398</v>
      </c>
      <c r="O52" s="5">
        <v>37622.0</v>
      </c>
      <c r="R52" s="1" t="b">
        <v>0</v>
      </c>
      <c r="S52" s="1">
        <v>0.0</v>
      </c>
      <c r="T52" s="1">
        <v>240.0</v>
      </c>
      <c r="U52" s="1" t="b">
        <v>0</v>
      </c>
      <c r="V52" s="1" t="s">
        <v>5392</v>
      </c>
      <c r="W52" s="1" t="s">
        <v>5399</v>
      </c>
      <c r="X52" s="1">
        <v>200.0</v>
      </c>
      <c r="Y52" s="1" t="s">
        <v>5075</v>
      </c>
      <c r="Z52" s="1" t="s">
        <v>5400</v>
      </c>
      <c r="AC52" s="1" t="s">
        <v>5077</v>
      </c>
      <c r="AD52" s="1" t="s">
        <v>5093</v>
      </c>
      <c r="AG52" s="5">
        <v>42860.0</v>
      </c>
      <c r="AH52" s="1">
        <v>301160.0</v>
      </c>
    </row>
    <row r="53">
      <c r="A53" s="1">
        <v>1386.0</v>
      </c>
      <c r="B53" s="1">
        <v>1.0</v>
      </c>
      <c r="C53" s="1" t="s">
        <v>5401</v>
      </c>
      <c r="D53" s="1" t="s">
        <v>5068</v>
      </c>
      <c r="F53" s="1" t="s">
        <v>5402</v>
      </c>
      <c r="G53" s="1" t="s">
        <v>26</v>
      </c>
      <c r="H53" s="1" t="s">
        <v>5102</v>
      </c>
      <c r="I53" s="1" t="s">
        <v>18</v>
      </c>
      <c r="J53" s="1" t="s">
        <v>557</v>
      </c>
      <c r="K53" s="6" t="s">
        <v>5403</v>
      </c>
      <c r="L53" s="6" t="s">
        <v>5404</v>
      </c>
      <c r="M53" s="1" t="s">
        <v>5125</v>
      </c>
      <c r="O53" s="5">
        <v>33239.0</v>
      </c>
      <c r="R53" s="1" t="b">
        <v>0</v>
      </c>
      <c r="S53" s="1">
        <v>0.0</v>
      </c>
      <c r="T53" s="1">
        <v>245.0</v>
      </c>
      <c r="U53" s="1" t="b">
        <v>0</v>
      </c>
      <c r="V53" s="1" t="s">
        <v>5132</v>
      </c>
      <c r="W53" s="1" t="s">
        <v>5405</v>
      </c>
      <c r="X53" s="1">
        <v>200.0</v>
      </c>
      <c r="Y53" s="1" t="s">
        <v>5075</v>
      </c>
      <c r="Z53" s="1" t="s">
        <v>5406</v>
      </c>
      <c r="AC53" s="1" t="s">
        <v>5077</v>
      </c>
      <c r="AD53" s="1" t="s">
        <v>5093</v>
      </c>
      <c r="AG53" s="5">
        <v>42860.0</v>
      </c>
      <c r="AH53" s="1">
        <v>300892.0</v>
      </c>
    </row>
    <row r="54">
      <c r="A54" s="1">
        <v>1420.0</v>
      </c>
      <c r="B54" s="1">
        <v>1.0</v>
      </c>
      <c r="C54" s="1" t="s">
        <v>5407</v>
      </c>
      <c r="D54" s="1" t="s">
        <v>5068</v>
      </c>
      <c r="F54" s="1" t="s">
        <v>5408</v>
      </c>
      <c r="G54" s="1" t="s">
        <v>5122</v>
      </c>
      <c r="H54" s="1" t="s">
        <v>5102</v>
      </c>
      <c r="I54" s="1" t="s">
        <v>18</v>
      </c>
      <c r="J54" s="1" t="s">
        <v>486</v>
      </c>
      <c r="K54" s="6" t="s">
        <v>5409</v>
      </c>
      <c r="L54" s="6" t="s">
        <v>5410</v>
      </c>
      <c r="M54" s="1" t="s">
        <v>5125</v>
      </c>
      <c r="O54" s="5">
        <v>33239.0</v>
      </c>
      <c r="R54" s="1" t="b">
        <v>0</v>
      </c>
      <c r="S54" s="1">
        <v>0.0</v>
      </c>
      <c r="T54" s="1">
        <v>261.0</v>
      </c>
      <c r="U54" s="1" t="b">
        <v>0</v>
      </c>
      <c r="V54" s="1" t="s">
        <v>5126</v>
      </c>
      <c r="W54" s="1" t="s">
        <v>5411</v>
      </c>
      <c r="X54" s="1">
        <v>200.0</v>
      </c>
      <c r="Y54" s="1" t="s">
        <v>5075</v>
      </c>
      <c r="Z54" s="1" t="s">
        <v>5121</v>
      </c>
      <c r="AC54" s="1" t="s">
        <v>5077</v>
      </c>
      <c r="AD54" s="1" t="s">
        <v>5093</v>
      </c>
      <c r="AG54" s="5">
        <v>42860.0</v>
      </c>
      <c r="AH54" s="1">
        <v>78592.0</v>
      </c>
    </row>
    <row r="55">
      <c r="A55" s="1">
        <v>1422.0</v>
      </c>
      <c r="B55" s="1">
        <v>1.0</v>
      </c>
      <c r="C55" s="1" t="s">
        <v>5412</v>
      </c>
      <c r="D55" s="1" t="s">
        <v>5068</v>
      </c>
      <c r="F55" s="1" t="s">
        <v>5413</v>
      </c>
      <c r="G55" s="1" t="s">
        <v>26</v>
      </c>
      <c r="H55" s="1" t="s">
        <v>5102</v>
      </c>
      <c r="I55" s="1" t="s">
        <v>18</v>
      </c>
      <c r="J55" s="1" t="s">
        <v>1105</v>
      </c>
      <c r="K55" s="6" t="s">
        <v>5414</v>
      </c>
      <c r="L55" s="6" t="s">
        <v>5415</v>
      </c>
      <c r="M55" s="1" t="s">
        <v>5125</v>
      </c>
      <c r="O55" s="5">
        <v>26299.0</v>
      </c>
      <c r="R55" s="1" t="b">
        <v>0</v>
      </c>
      <c r="S55" s="1">
        <v>0.0</v>
      </c>
      <c r="T55" s="1">
        <v>264.0</v>
      </c>
      <c r="U55" s="1" t="b">
        <v>0</v>
      </c>
      <c r="V55" s="1" t="s">
        <v>5126</v>
      </c>
      <c r="W55" s="1" t="s">
        <v>5416</v>
      </c>
      <c r="X55" s="1">
        <v>200.0</v>
      </c>
      <c r="Z55" s="1" t="s">
        <v>5129</v>
      </c>
      <c r="AC55" s="1" t="s">
        <v>5077</v>
      </c>
      <c r="AD55" s="1" t="s">
        <v>5093</v>
      </c>
      <c r="AG55" s="5">
        <v>42860.0</v>
      </c>
      <c r="AH55" s="1">
        <v>302402.0</v>
      </c>
    </row>
    <row r="56">
      <c r="A56" s="1">
        <v>1454.0</v>
      </c>
      <c r="B56" s="1">
        <v>0.0</v>
      </c>
      <c r="C56" s="1" t="s">
        <v>5417</v>
      </c>
      <c r="D56" s="1" t="s">
        <v>5068</v>
      </c>
      <c r="F56" s="1" t="s">
        <v>5418</v>
      </c>
      <c r="G56" s="1" t="s">
        <v>5115</v>
      </c>
      <c r="H56" s="1" t="s">
        <v>5419</v>
      </c>
      <c r="I56" s="1" t="s">
        <v>18</v>
      </c>
      <c r="J56" s="1" t="s">
        <v>5149</v>
      </c>
      <c r="K56" s="6" t="s">
        <v>5420</v>
      </c>
      <c r="L56" s="6" t="s">
        <v>5421</v>
      </c>
      <c r="M56" s="1" t="s">
        <v>5125</v>
      </c>
      <c r="O56" s="5">
        <v>38405.0</v>
      </c>
      <c r="R56" s="1" t="b">
        <v>0</v>
      </c>
      <c r="S56" s="1">
        <v>0.0</v>
      </c>
      <c r="U56" s="1" t="b">
        <v>0</v>
      </c>
      <c r="V56" s="1" t="s">
        <v>5422</v>
      </c>
      <c r="W56" s="1" t="s">
        <v>5423</v>
      </c>
      <c r="X56" s="1">
        <v>200.0</v>
      </c>
      <c r="Y56" s="1" t="s">
        <v>5075</v>
      </c>
      <c r="AG56" s="5">
        <v>42860.0</v>
      </c>
    </row>
    <row r="57">
      <c r="A57" s="1">
        <v>1460.0</v>
      </c>
      <c r="B57" s="1">
        <v>0.0</v>
      </c>
      <c r="C57" s="1" t="s">
        <v>5424</v>
      </c>
      <c r="D57" s="1" t="s">
        <v>5068</v>
      </c>
      <c r="F57" s="1" t="s">
        <v>5425</v>
      </c>
      <c r="G57" s="1" t="s">
        <v>5115</v>
      </c>
      <c r="H57" s="1" t="s">
        <v>5426</v>
      </c>
      <c r="I57" s="1" t="s">
        <v>18</v>
      </c>
      <c r="J57" s="1" t="s">
        <v>5149</v>
      </c>
      <c r="K57" s="6" t="s">
        <v>5427</v>
      </c>
      <c r="L57" s="6" t="s">
        <v>5421</v>
      </c>
      <c r="M57" s="1" t="s">
        <v>5125</v>
      </c>
      <c r="R57" s="1" t="b">
        <v>0</v>
      </c>
      <c r="S57" s="1">
        <v>0.0</v>
      </c>
      <c r="U57" s="1" t="b">
        <v>0</v>
      </c>
      <c r="V57" s="1" t="s">
        <v>5422</v>
      </c>
      <c r="W57" s="1" t="s">
        <v>5423</v>
      </c>
      <c r="X57" s="1">
        <v>200.0</v>
      </c>
      <c r="Y57" s="1" t="s">
        <v>5075</v>
      </c>
      <c r="AG57" s="5">
        <v>42860.0</v>
      </c>
    </row>
    <row r="58">
      <c r="A58" s="1">
        <v>1482.0</v>
      </c>
      <c r="B58" s="1">
        <v>0.0</v>
      </c>
      <c r="C58" s="1" t="s">
        <v>5428</v>
      </c>
      <c r="D58" s="1" t="s">
        <v>5068</v>
      </c>
      <c r="E58" s="5">
        <v>43656.0</v>
      </c>
      <c r="F58" s="1" t="s">
        <v>5429</v>
      </c>
      <c r="G58" s="1" t="s">
        <v>5136</v>
      </c>
      <c r="H58" s="1" t="s">
        <v>5102</v>
      </c>
      <c r="I58" s="1" t="s">
        <v>356</v>
      </c>
      <c r="J58" s="1" t="s">
        <v>5071</v>
      </c>
      <c r="K58" s="6" t="s">
        <v>5430</v>
      </c>
      <c r="L58" s="6" t="s">
        <v>5431</v>
      </c>
      <c r="M58" s="1" t="s">
        <v>5432</v>
      </c>
      <c r="O58" s="5">
        <v>39448.0</v>
      </c>
      <c r="Q58" s="5">
        <v>43641.0</v>
      </c>
      <c r="R58" s="1" t="b">
        <v>0</v>
      </c>
      <c r="S58" s="1">
        <v>0.0</v>
      </c>
      <c r="T58" s="1">
        <v>288.0</v>
      </c>
      <c r="U58" s="1" t="b">
        <v>0</v>
      </c>
      <c r="V58" s="1" t="s">
        <v>5132</v>
      </c>
      <c r="W58" s="1" t="s">
        <v>5433</v>
      </c>
      <c r="X58" s="1">
        <v>200.0</v>
      </c>
      <c r="Y58" s="1" t="s">
        <v>5075</v>
      </c>
      <c r="Z58" s="1" t="s">
        <v>5135</v>
      </c>
      <c r="AC58" s="1" t="s">
        <v>5077</v>
      </c>
      <c r="AD58" s="1" t="s">
        <v>5093</v>
      </c>
      <c r="AG58" s="5">
        <v>42860.0</v>
      </c>
      <c r="AH58" s="1">
        <v>451.0</v>
      </c>
    </row>
    <row r="59">
      <c r="A59" s="1">
        <v>172614.0</v>
      </c>
      <c r="B59" s="1">
        <v>0.0</v>
      </c>
      <c r="C59" s="1" t="s">
        <v>5434</v>
      </c>
      <c r="D59" s="1" t="s">
        <v>5081</v>
      </c>
      <c r="E59" s="5">
        <v>43656.0</v>
      </c>
      <c r="F59" s="1" t="s">
        <v>5435</v>
      </c>
      <c r="G59" s="1" t="s">
        <v>5136</v>
      </c>
      <c r="H59" s="1" t="s">
        <v>5102</v>
      </c>
      <c r="I59" s="1" t="s">
        <v>356</v>
      </c>
      <c r="J59" s="1" t="s">
        <v>5071</v>
      </c>
      <c r="K59" s="6" t="s">
        <v>5436</v>
      </c>
      <c r="L59" s="6" t="s">
        <v>5437</v>
      </c>
      <c r="M59" s="1" t="s">
        <v>5438</v>
      </c>
      <c r="O59" s="5">
        <v>39448.0</v>
      </c>
      <c r="Q59" s="5">
        <v>43641.0</v>
      </c>
      <c r="R59" s="1" t="b">
        <v>0</v>
      </c>
      <c r="S59" s="1">
        <v>0.0</v>
      </c>
      <c r="T59" s="1">
        <v>288.0</v>
      </c>
      <c r="U59" s="1" t="b">
        <v>0</v>
      </c>
      <c r="V59" s="1" t="s">
        <v>5132</v>
      </c>
      <c r="W59" s="1" t="s">
        <v>5433</v>
      </c>
      <c r="X59" s="1">
        <v>200.0</v>
      </c>
      <c r="Z59" s="1" t="s">
        <v>5135</v>
      </c>
      <c r="AA59" s="1" t="s">
        <v>5429</v>
      </c>
      <c r="AG59" s="5">
        <v>43298.0</v>
      </c>
    </row>
    <row r="60">
      <c r="A60" s="1">
        <v>1521.0</v>
      </c>
      <c r="B60" s="1">
        <v>0.0</v>
      </c>
      <c r="C60" s="1" t="s">
        <v>5439</v>
      </c>
      <c r="D60" s="1" t="s">
        <v>5068</v>
      </c>
      <c r="E60" s="5">
        <v>43715.0</v>
      </c>
      <c r="F60" s="1" t="s">
        <v>5440</v>
      </c>
      <c r="G60" s="1" t="s">
        <v>5115</v>
      </c>
      <c r="H60" s="1" t="s">
        <v>5102</v>
      </c>
      <c r="I60" s="1" t="s">
        <v>18</v>
      </c>
      <c r="J60" s="1" t="s">
        <v>70</v>
      </c>
      <c r="K60" s="6" t="s">
        <v>5441</v>
      </c>
      <c r="L60" s="6" t="s">
        <v>5442</v>
      </c>
      <c r="M60" s="1" t="s">
        <v>5443</v>
      </c>
      <c r="O60" s="5">
        <v>36161.0</v>
      </c>
      <c r="R60" s="1" t="b">
        <v>0</v>
      </c>
      <c r="S60" s="1">
        <v>0.0</v>
      </c>
      <c r="T60" s="1">
        <v>293.0</v>
      </c>
      <c r="U60" s="1" t="b">
        <v>0</v>
      </c>
      <c r="V60" s="1" t="s">
        <v>5444</v>
      </c>
      <c r="W60" s="1" t="s">
        <v>5445</v>
      </c>
      <c r="X60" s="1">
        <v>200.0</v>
      </c>
      <c r="Y60" s="1" t="s">
        <v>5075</v>
      </c>
      <c r="Z60" s="1" t="s">
        <v>4771</v>
      </c>
      <c r="AG60" s="5">
        <v>42860.0</v>
      </c>
    </row>
    <row r="61">
      <c r="A61" s="1">
        <v>1535.0</v>
      </c>
      <c r="B61" s="1">
        <v>0.0</v>
      </c>
      <c r="C61" s="1" t="s">
        <v>5446</v>
      </c>
      <c r="D61" s="1" t="s">
        <v>5068</v>
      </c>
      <c r="F61" s="1" t="s">
        <v>5447</v>
      </c>
      <c r="G61" s="1" t="s">
        <v>26</v>
      </c>
      <c r="H61" s="1" t="s">
        <v>5102</v>
      </c>
      <c r="I61" s="1" t="s">
        <v>18</v>
      </c>
      <c r="J61" s="1" t="s">
        <v>5149</v>
      </c>
      <c r="K61" s="6" t="s">
        <v>5448</v>
      </c>
      <c r="L61" s="6" t="s">
        <v>5449</v>
      </c>
      <c r="M61" s="1" t="s">
        <v>5125</v>
      </c>
      <c r="O61" s="5">
        <v>35065.0</v>
      </c>
      <c r="R61" s="1" t="b">
        <v>0</v>
      </c>
      <c r="S61" s="1">
        <v>0.0</v>
      </c>
      <c r="T61" s="1">
        <v>294.0</v>
      </c>
      <c r="U61" s="1" t="b">
        <v>0</v>
      </c>
      <c r="V61" s="1" t="s">
        <v>5450</v>
      </c>
      <c r="W61" s="1" t="s">
        <v>5451</v>
      </c>
      <c r="X61" s="1">
        <v>200.0</v>
      </c>
      <c r="Z61" s="1" t="s">
        <v>5148</v>
      </c>
      <c r="AG61" s="5">
        <v>42860.0</v>
      </c>
    </row>
    <row r="62">
      <c r="A62" s="1">
        <v>1536.0</v>
      </c>
      <c r="B62" s="1">
        <v>0.0</v>
      </c>
      <c r="C62" s="1" t="s">
        <v>5452</v>
      </c>
      <c r="D62" s="1" t="s">
        <v>5068</v>
      </c>
      <c r="E62" s="5">
        <v>42426.0</v>
      </c>
      <c r="F62" s="1" t="s">
        <v>5453</v>
      </c>
      <c r="G62" s="1" t="s">
        <v>5115</v>
      </c>
      <c r="H62" s="1" t="s">
        <v>5102</v>
      </c>
      <c r="I62" s="1" t="s">
        <v>356</v>
      </c>
      <c r="J62" s="1" t="s">
        <v>5149</v>
      </c>
      <c r="K62" s="6" t="s">
        <v>5454</v>
      </c>
      <c r="L62" s="6" t="s">
        <v>5455</v>
      </c>
      <c r="M62" s="1" t="s">
        <v>5456</v>
      </c>
      <c r="O62" s="5">
        <v>35065.0</v>
      </c>
      <c r="Q62" s="5">
        <v>42426.0</v>
      </c>
      <c r="R62" s="1" t="b">
        <v>0</v>
      </c>
      <c r="S62" s="1">
        <v>0.0</v>
      </c>
      <c r="T62" s="1">
        <v>296.0</v>
      </c>
      <c r="U62" s="1" t="b">
        <v>0</v>
      </c>
      <c r="V62" s="1" t="s">
        <v>5457</v>
      </c>
      <c r="W62" s="1" t="s">
        <v>5458</v>
      </c>
      <c r="X62" s="1">
        <v>200.0</v>
      </c>
      <c r="Z62" s="1" t="s">
        <v>1357</v>
      </c>
      <c r="AG62" s="5">
        <v>42860.0</v>
      </c>
    </row>
    <row r="63">
      <c r="A63" s="1">
        <v>1537.0</v>
      </c>
      <c r="B63" s="1">
        <v>1.0</v>
      </c>
      <c r="C63" s="1" t="s">
        <v>5459</v>
      </c>
      <c r="D63" s="1" t="s">
        <v>5068</v>
      </c>
      <c r="F63" s="1" t="s">
        <v>5460</v>
      </c>
      <c r="G63" s="1" t="s">
        <v>26</v>
      </c>
      <c r="H63" s="1" t="s">
        <v>5102</v>
      </c>
      <c r="I63" s="1" t="s">
        <v>18</v>
      </c>
      <c r="J63" s="1" t="s">
        <v>5149</v>
      </c>
      <c r="K63" s="6" t="s">
        <v>5461</v>
      </c>
      <c r="L63" s="6" t="s">
        <v>5462</v>
      </c>
      <c r="M63" s="1" t="s">
        <v>5463</v>
      </c>
      <c r="O63" s="5">
        <v>35065.0</v>
      </c>
      <c r="R63" s="1" t="b">
        <v>0</v>
      </c>
      <c r="S63" s="1">
        <v>0.0</v>
      </c>
      <c r="T63" s="1">
        <v>296.0</v>
      </c>
      <c r="U63" s="1" t="b">
        <v>0</v>
      </c>
      <c r="V63" s="1" t="s">
        <v>5464</v>
      </c>
      <c r="W63" s="1" t="s">
        <v>5465</v>
      </c>
      <c r="X63" s="1">
        <v>200.0</v>
      </c>
      <c r="Y63" s="1" t="s">
        <v>5075</v>
      </c>
      <c r="Z63" s="1" t="s">
        <v>1357</v>
      </c>
      <c r="AC63" s="1" t="s">
        <v>5077</v>
      </c>
      <c r="AD63" s="1" t="s">
        <v>5093</v>
      </c>
      <c r="AG63" s="5">
        <v>42860.0</v>
      </c>
      <c r="AH63" s="1">
        <v>67453.0</v>
      </c>
    </row>
    <row r="64">
      <c r="A64" s="1">
        <v>1538.0</v>
      </c>
      <c r="B64" s="1">
        <v>0.0</v>
      </c>
      <c r="C64" s="1" t="s">
        <v>5466</v>
      </c>
      <c r="D64" s="1" t="s">
        <v>5068</v>
      </c>
      <c r="F64" s="1" t="s">
        <v>5467</v>
      </c>
      <c r="G64" s="1" t="s">
        <v>26</v>
      </c>
      <c r="H64" s="1" t="s">
        <v>5102</v>
      </c>
      <c r="I64" s="1" t="s">
        <v>18</v>
      </c>
      <c r="J64" s="1" t="s">
        <v>5149</v>
      </c>
      <c r="K64" s="6" t="s">
        <v>5468</v>
      </c>
      <c r="L64" s="6" t="s">
        <v>5469</v>
      </c>
      <c r="M64" s="1" t="s">
        <v>5125</v>
      </c>
      <c r="O64" s="5">
        <v>39814.0</v>
      </c>
      <c r="R64" s="1" t="b">
        <v>0</v>
      </c>
      <c r="S64" s="1">
        <v>0.0</v>
      </c>
      <c r="T64" s="1">
        <v>296.0</v>
      </c>
      <c r="U64" s="1" t="b">
        <v>0</v>
      </c>
      <c r="V64" s="1" t="s">
        <v>5450</v>
      </c>
      <c r="W64" s="1" t="s">
        <v>5470</v>
      </c>
      <c r="X64" s="1">
        <v>200.0</v>
      </c>
      <c r="Y64" s="1" t="s">
        <v>5075</v>
      </c>
      <c r="Z64" s="1" t="s">
        <v>1357</v>
      </c>
      <c r="AG64" s="5">
        <v>42860.0</v>
      </c>
    </row>
    <row r="65">
      <c r="A65" s="1">
        <v>1539.0</v>
      </c>
      <c r="B65" s="1">
        <v>0.0</v>
      </c>
      <c r="C65" s="1" t="s">
        <v>5471</v>
      </c>
      <c r="D65" s="1" t="s">
        <v>5068</v>
      </c>
      <c r="F65" s="1" t="s">
        <v>5472</v>
      </c>
      <c r="G65" s="1" t="s">
        <v>26</v>
      </c>
      <c r="H65" s="1" t="s">
        <v>5102</v>
      </c>
      <c r="I65" s="1" t="s">
        <v>18</v>
      </c>
      <c r="J65" s="1" t="s">
        <v>5149</v>
      </c>
      <c r="K65" s="6" t="s">
        <v>5473</v>
      </c>
      <c r="L65" s="6" t="s">
        <v>5474</v>
      </c>
      <c r="M65" s="1" t="s">
        <v>5125</v>
      </c>
      <c r="O65" s="5">
        <v>35431.0</v>
      </c>
      <c r="R65" s="1" t="b">
        <v>0</v>
      </c>
      <c r="S65" s="1">
        <v>0.0</v>
      </c>
      <c r="T65" s="1">
        <v>296.0</v>
      </c>
      <c r="U65" s="1" t="b">
        <v>0</v>
      </c>
      <c r="V65" s="1" t="s">
        <v>5475</v>
      </c>
      <c r="W65" s="1" t="s">
        <v>5476</v>
      </c>
      <c r="X65" s="1">
        <v>200.0</v>
      </c>
      <c r="Y65" s="1" t="s">
        <v>5075</v>
      </c>
      <c r="Z65" s="1" t="s">
        <v>1357</v>
      </c>
      <c r="AC65" s="1" t="s">
        <v>5077</v>
      </c>
      <c r="AD65" s="1" t="s">
        <v>5093</v>
      </c>
      <c r="AG65" s="5">
        <v>42860.0</v>
      </c>
      <c r="AH65" s="1">
        <v>67456.0</v>
      </c>
    </row>
    <row r="66">
      <c r="A66" s="1">
        <v>1540.0</v>
      </c>
      <c r="B66" s="1">
        <v>0.0</v>
      </c>
      <c r="C66" s="1" t="s">
        <v>5477</v>
      </c>
      <c r="D66" s="1" t="s">
        <v>5068</v>
      </c>
      <c r="F66" s="1" t="s">
        <v>5478</v>
      </c>
      <c r="G66" s="1" t="s">
        <v>26</v>
      </c>
      <c r="H66" s="1" t="s">
        <v>5102</v>
      </c>
      <c r="I66" s="1" t="s">
        <v>18</v>
      </c>
      <c r="J66" s="1" t="s">
        <v>5149</v>
      </c>
      <c r="K66" s="1" t="s">
        <v>5072</v>
      </c>
      <c r="L66" s="6" t="s">
        <v>5479</v>
      </c>
      <c r="M66" s="1" t="s">
        <v>5125</v>
      </c>
      <c r="O66" s="5">
        <v>35431.0</v>
      </c>
      <c r="R66" s="1" t="b">
        <v>0</v>
      </c>
      <c r="S66" s="1">
        <v>0.0</v>
      </c>
      <c r="T66" s="1">
        <v>296.0</v>
      </c>
      <c r="U66" s="1" t="b">
        <v>0</v>
      </c>
      <c r="V66" s="1" t="s">
        <v>5480</v>
      </c>
      <c r="X66" s="1">
        <v>408.0</v>
      </c>
      <c r="Z66" s="1" t="s">
        <v>1357</v>
      </c>
      <c r="AG66" s="5">
        <v>42860.0</v>
      </c>
    </row>
    <row r="67">
      <c r="A67" s="1">
        <v>2251.0</v>
      </c>
      <c r="B67" s="1">
        <v>0.0</v>
      </c>
      <c r="C67" s="1" t="s">
        <v>5481</v>
      </c>
      <c r="D67" s="1" t="s">
        <v>5068</v>
      </c>
      <c r="F67" s="1" t="s">
        <v>5482</v>
      </c>
      <c r="G67" s="1" t="s">
        <v>5483</v>
      </c>
      <c r="H67" s="1" t="s">
        <v>5102</v>
      </c>
      <c r="I67" s="1" t="s">
        <v>18</v>
      </c>
      <c r="J67" s="1" t="s">
        <v>5071</v>
      </c>
      <c r="K67" s="1" t="s">
        <v>5072</v>
      </c>
      <c r="L67" s="6" t="s">
        <v>5484</v>
      </c>
      <c r="M67" s="1" t="s">
        <v>5485</v>
      </c>
      <c r="O67" s="5">
        <v>36526.0</v>
      </c>
      <c r="R67" s="1" t="b">
        <v>0</v>
      </c>
      <c r="S67" s="1">
        <v>0.0</v>
      </c>
      <c r="T67" s="1">
        <v>368.0</v>
      </c>
      <c r="U67" s="1" t="b">
        <v>0</v>
      </c>
      <c r="V67" s="1" t="s">
        <v>5486</v>
      </c>
      <c r="W67" s="1" t="s">
        <v>5487</v>
      </c>
      <c r="X67" s="1">
        <v>408.0</v>
      </c>
      <c r="Y67" s="1" t="s">
        <v>5075</v>
      </c>
      <c r="Z67" s="1" t="s">
        <v>5488</v>
      </c>
      <c r="AC67" s="1" t="s">
        <v>5077</v>
      </c>
      <c r="AD67" s="1" t="s">
        <v>5093</v>
      </c>
      <c r="AG67" s="5">
        <v>42860.0</v>
      </c>
      <c r="AH67" s="1">
        <v>1069.0</v>
      </c>
    </row>
    <row r="68">
      <c r="A68" s="1">
        <v>172327.0</v>
      </c>
      <c r="B68" s="1">
        <v>0.0</v>
      </c>
      <c r="C68" s="1" t="s">
        <v>5489</v>
      </c>
      <c r="D68" s="1" t="s">
        <v>5081</v>
      </c>
      <c r="F68" s="1" t="s">
        <v>5490</v>
      </c>
      <c r="G68" s="1" t="s">
        <v>5483</v>
      </c>
      <c r="H68" s="1" t="s">
        <v>5102</v>
      </c>
      <c r="I68" s="1" t="s">
        <v>18</v>
      </c>
      <c r="J68" s="1" t="s">
        <v>5071</v>
      </c>
      <c r="K68" s="6" t="s">
        <v>5491</v>
      </c>
      <c r="L68" s="6" t="s">
        <v>5492</v>
      </c>
      <c r="M68" s="1" t="s">
        <v>5493</v>
      </c>
      <c r="O68" s="5">
        <v>36526.0</v>
      </c>
      <c r="R68" s="1" t="b">
        <v>0</v>
      </c>
      <c r="S68" s="1">
        <v>0.0</v>
      </c>
      <c r="T68" s="1">
        <v>368.0</v>
      </c>
      <c r="U68" s="1" t="b">
        <v>0</v>
      </c>
      <c r="V68" s="1" t="s">
        <v>5486</v>
      </c>
      <c r="W68" s="1" t="s">
        <v>5487</v>
      </c>
      <c r="X68" s="1">
        <v>200.0</v>
      </c>
      <c r="Y68" s="1" t="s">
        <v>5075</v>
      </c>
      <c r="Z68" s="1" t="s">
        <v>5488</v>
      </c>
      <c r="AA68" s="1" t="s">
        <v>5482</v>
      </c>
      <c r="AG68" s="5">
        <v>43298.0</v>
      </c>
    </row>
    <row r="69">
      <c r="A69" s="1">
        <v>2275.0</v>
      </c>
      <c r="B69" s="1">
        <v>0.0</v>
      </c>
      <c r="C69" s="1" t="s">
        <v>5494</v>
      </c>
      <c r="D69" s="1" t="s">
        <v>5068</v>
      </c>
      <c r="E69" s="5">
        <v>44257.0</v>
      </c>
      <c r="F69" s="1" t="s">
        <v>5495</v>
      </c>
      <c r="G69" s="1" t="s">
        <v>26</v>
      </c>
      <c r="H69" s="1" t="s">
        <v>5102</v>
      </c>
      <c r="I69" s="1" t="s">
        <v>356</v>
      </c>
      <c r="J69" s="1" t="s">
        <v>24</v>
      </c>
      <c r="K69" s="6" t="s">
        <v>5496</v>
      </c>
      <c r="L69" s="6" t="s">
        <v>5497</v>
      </c>
      <c r="M69" s="1" t="s">
        <v>5498</v>
      </c>
      <c r="O69" s="5">
        <v>40179.0</v>
      </c>
      <c r="Q69" s="5">
        <v>44348.0</v>
      </c>
      <c r="R69" s="1" t="b">
        <v>0</v>
      </c>
      <c r="S69" s="1">
        <v>0.0</v>
      </c>
      <c r="T69" s="1">
        <v>401.0</v>
      </c>
      <c r="U69" s="1" t="b">
        <v>0</v>
      </c>
      <c r="V69" s="1" t="s">
        <v>5499</v>
      </c>
      <c r="W69" s="1" t="s">
        <v>5500</v>
      </c>
      <c r="X69" s="1">
        <v>200.0</v>
      </c>
      <c r="Y69" s="1" t="s">
        <v>5075</v>
      </c>
      <c r="Z69" s="1" t="s">
        <v>5162</v>
      </c>
      <c r="AC69" s="1" t="s">
        <v>5077</v>
      </c>
      <c r="AD69" s="1" t="s">
        <v>5093</v>
      </c>
      <c r="AG69" s="5">
        <v>42860.0</v>
      </c>
      <c r="AH69" s="1">
        <v>1355.0</v>
      </c>
    </row>
    <row r="70">
      <c r="A70" s="1">
        <v>2277.0</v>
      </c>
      <c r="B70" s="1">
        <v>1.0</v>
      </c>
      <c r="C70" s="1" t="s">
        <v>5501</v>
      </c>
      <c r="D70" s="1" t="s">
        <v>5068</v>
      </c>
      <c r="E70" s="5">
        <v>44901.0</v>
      </c>
      <c r="F70" s="1" t="s">
        <v>5502</v>
      </c>
      <c r="G70" s="1" t="s">
        <v>26</v>
      </c>
      <c r="H70" s="1" t="s">
        <v>5102</v>
      </c>
      <c r="I70" s="1" t="s">
        <v>18</v>
      </c>
      <c r="J70" s="1" t="s">
        <v>24</v>
      </c>
      <c r="K70" s="6" t="s">
        <v>5503</v>
      </c>
      <c r="L70" s="6" t="s">
        <v>5504</v>
      </c>
      <c r="M70" s="1" t="s">
        <v>5505</v>
      </c>
      <c r="O70" s="5">
        <v>40179.0</v>
      </c>
      <c r="R70" s="1" t="b">
        <v>0</v>
      </c>
      <c r="S70" s="1">
        <v>0.0</v>
      </c>
      <c r="T70" s="1">
        <v>401.0</v>
      </c>
      <c r="U70" s="1" t="b">
        <v>0</v>
      </c>
      <c r="V70" s="1" t="s">
        <v>5506</v>
      </c>
      <c r="W70" s="1" t="s">
        <v>5507</v>
      </c>
      <c r="X70" s="1">
        <v>200.0</v>
      </c>
      <c r="Y70" s="1" t="s">
        <v>5142</v>
      </c>
      <c r="Z70" s="1" t="s">
        <v>5162</v>
      </c>
      <c r="AC70" s="1" t="s">
        <v>5077</v>
      </c>
      <c r="AD70" s="1" t="s">
        <v>5093</v>
      </c>
      <c r="AG70" s="5">
        <v>42860.0</v>
      </c>
      <c r="AH70" s="1">
        <v>299519.0</v>
      </c>
    </row>
    <row r="71">
      <c r="A71" s="1">
        <v>2278.0</v>
      </c>
      <c r="B71" s="1">
        <v>1.0</v>
      </c>
      <c r="C71" s="1" t="s">
        <v>5508</v>
      </c>
      <c r="D71" s="1" t="s">
        <v>5068</v>
      </c>
      <c r="E71" s="5">
        <v>43557.0</v>
      </c>
      <c r="F71" s="1" t="s">
        <v>5509</v>
      </c>
      <c r="G71" s="1" t="s">
        <v>26</v>
      </c>
      <c r="H71" s="1" t="s">
        <v>5102</v>
      </c>
      <c r="I71" s="1" t="s">
        <v>18</v>
      </c>
      <c r="J71" s="1" t="s">
        <v>24</v>
      </c>
      <c r="K71" s="6" t="s">
        <v>5510</v>
      </c>
      <c r="L71" s="6" t="s">
        <v>5511</v>
      </c>
      <c r="M71" s="1" t="s">
        <v>5512</v>
      </c>
      <c r="O71" s="5">
        <v>40179.0</v>
      </c>
      <c r="R71" s="1" t="b">
        <v>0</v>
      </c>
      <c r="S71" s="1">
        <v>0.0</v>
      </c>
      <c r="T71" s="1">
        <v>401.0</v>
      </c>
      <c r="U71" s="1" t="b">
        <v>0</v>
      </c>
      <c r="V71" s="1" t="s">
        <v>5513</v>
      </c>
      <c r="W71" s="1" t="s">
        <v>5514</v>
      </c>
      <c r="X71" s="1">
        <v>200.0</v>
      </c>
      <c r="Y71" s="1" t="s">
        <v>5075</v>
      </c>
      <c r="Z71" s="1" t="s">
        <v>5162</v>
      </c>
      <c r="AC71" s="1" t="s">
        <v>5077</v>
      </c>
      <c r="AD71" s="1" t="s">
        <v>5093</v>
      </c>
      <c r="AG71" s="5">
        <v>42860.0</v>
      </c>
      <c r="AH71" s="1">
        <v>101108.0</v>
      </c>
    </row>
    <row r="72">
      <c r="A72" s="1">
        <v>2280.0</v>
      </c>
      <c r="B72" s="1">
        <v>1.0</v>
      </c>
      <c r="C72" s="1" t="s">
        <v>5515</v>
      </c>
      <c r="D72" s="1" t="s">
        <v>5068</v>
      </c>
      <c r="F72" s="1" t="s">
        <v>5516</v>
      </c>
      <c r="G72" s="1" t="s">
        <v>26</v>
      </c>
      <c r="H72" s="1" t="s">
        <v>5102</v>
      </c>
      <c r="I72" s="1" t="s">
        <v>18</v>
      </c>
      <c r="J72" s="1" t="s">
        <v>24</v>
      </c>
      <c r="K72" s="6" t="s">
        <v>5517</v>
      </c>
      <c r="L72" s="6" t="s">
        <v>5518</v>
      </c>
      <c r="M72" s="1" t="s">
        <v>5519</v>
      </c>
      <c r="O72" s="5">
        <v>40179.0</v>
      </c>
      <c r="R72" s="1" t="b">
        <v>0</v>
      </c>
      <c r="S72" s="1">
        <v>0.0</v>
      </c>
      <c r="T72" s="1">
        <v>401.0</v>
      </c>
      <c r="U72" s="1" t="b">
        <v>0</v>
      </c>
      <c r="V72" s="1" t="s">
        <v>5520</v>
      </c>
      <c r="W72" s="1" t="s">
        <v>5521</v>
      </c>
      <c r="X72" s="1">
        <v>200.0</v>
      </c>
      <c r="Y72" s="1" t="s">
        <v>5075</v>
      </c>
      <c r="Z72" s="1" t="s">
        <v>5162</v>
      </c>
      <c r="AC72" s="1" t="s">
        <v>5077</v>
      </c>
      <c r="AD72" s="1" t="s">
        <v>5093</v>
      </c>
      <c r="AG72" s="5">
        <v>42860.0</v>
      </c>
      <c r="AH72" s="1">
        <v>67210.0</v>
      </c>
    </row>
    <row r="73">
      <c r="A73" s="1">
        <v>2281.0</v>
      </c>
      <c r="B73" s="1">
        <v>0.0</v>
      </c>
      <c r="C73" s="1" t="s">
        <v>5522</v>
      </c>
      <c r="D73" s="1" t="s">
        <v>5068</v>
      </c>
      <c r="F73" s="1" t="s">
        <v>5523</v>
      </c>
      <c r="G73" s="1" t="s">
        <v>26</v>
      </c>
      <c r="H73" s="1" t="s">
        <v>5102</v>
      </c>
      <c r="I73" s="1" t="s">
        <v>356</v>
      </c>
      <c r="J73" s="1" t="s">
        <v>24</v>
      </c>
      <c r="K73" s="1" t="s">
        <v>5072</v>
      </c>
      <c r="L73" s="6" t="s">
        <v>5524</v>
      </c>
      <c r="M73" s="1" t="s">
        <v>5525</v>
      </c>
      <c r="O73" s="5">
        <v>40179.0</v>
      </c>
      <c r="R73" s="1" t="b">
        <v>0</v>
      </c>
      <c r="S73" s="1">
        <v>0.0</v>
      </c>
      <c r="T73" s="1">
        <v>401.0</v>
      </c>
      <c r="U73" s="1" t="b">
        <v>0</v>
      </c>
      <c r="V73" s="1" t="s">
        <v>5526</v>
      </c>
      <c r="X73" s="1">
        <v>408.0</v>
      </c>
      <c r="Z73" s="1" t="s">
        <v>5162</v>
      </c>
      <c r="AG73" s="5">
        <v>42860.0</v>
      </c>
    </row>
    <row r="74">
      <c r="A74" s="1">
        <v>2282.0</v>
      </c>
      <c r="B74" s="1">
        <v>0.0</v>
      </c>
      <c r="C74" s="1" t="s">
        <v>5527</v>
      </c>
      <c r="D74" s="1" t="s">
        <v>5068</v>
      </c>
      <c r="E74" s="5">
        <v>44894.0</v>
      </c>
      <c r="F74" s="1" t="s">
        <v>5528</v>
      </c>
      <c r="G74" s="1" t="s">
        <v>26</v>
      </c>
      <c r="H74" s="1" t="s">
        <v>5102</v>
      </c>
      <c r="I74" s="1" t="s">
        <v>18</v>
      </c>
      <c r="J74" s="1" t="s">
        <v>24</v>
      </c>
      <c r="K74" s="6" t="s">
        <v>5529</v>
      </c>
      <c r="L74" s="6" t="s">
        <v>5530</v>
      </c>
      <c r="M74" s="1" t="s">
        <v>5531</v>
      </c>
      <c r="O74" s="5">
        <v>40544.0</v>
      </c>
      <c r="R74" s="1" t="b">
        <v>0</v>
      </c>
      <c r="S74" s="1">
        <v>0.0</v>
      </c>
      <c r="T74" s="1">
        <v>401.0</v>
      </c>
      <c r="U74" s="1" t="b">
        <v>0</v>
      </c>
      <c r="V74" s="1" t="s">
        <v>5532</v>
      </c>
      <c r="W74" s="1" t="s">
        <v>5533</v>
      </c>
      <c r="X74" s="1">
        <v>200.0</v>
      </c>
      <c r="Y74" s="1" t="s">
        <v>5075</v>
      </c>
      <c r="Z74" s="1" t="s">
        <v>5162</v>
      </c>
      <c r="AG74" s="5">
        <v>42860.0</v>
      </c>
    </row>
    <row r="75">
      <c r="A75" s="1">
        <v>2491.0</v>
      </c>
      <c r="B75" s="1">
        <v>0.0</v>
      </c>
      <c r="C75" s="1" t="s">
        <v>5534</v>
      </c>
      <c r="D75" s="1" t="s">
        <v>5068</v>
      </c>
      <c r="F75" s="1" t="s">
        <v>5535</v>
      </c>
      <c r="G75" s="1" t="s">
        <v>5115</v>
      </c>
      <c r="H75" s="1" t="s">
        <v>5102</v>
      </c>
      <c r="I75" s="1" t="s">
        <v>356</v>
      </c>
      <c r="J75" s="1" t="s">
        <v>14</v>
      </c>
      <c r="K75" s="1" t="s">
        <v>5072</v>
      </c>
      <c r="L75" s="6" t="s">
        <v>5536</v>
      </c>
      <c r="M75" s="1" t="s">
        <v>5537</v>
      </c>
      <c r="R75" s="1" t="b">
        <v>0</v>
      </c>
      <c r="S75" s="1">
        <v>0.0</v>
      </c>
      <c r="T75" s="1">
        <v>416.0</v>
      </c>
      <c r="U75" s="1" t="b">
        <v>0</v>
      </c>
      <c r="V75" s="1" t="s">
        <v>5526</v>
      </c>
      <c r="X75" s="1">
        <v>200.0</v>
      </c>
      <c r="Y75" s="1" t="s">
        <v>5075</v>
      </c>
      <c r="Z75" s="1" t="s">
        <v>5538</v>
      </c>
      <c r="AG75" s="5">
        <v>42860.0</v>
      </c>
    </row>
    <row r="76">
      <c r="A76" s="1">
        <v>2497.0</v>
      </c>
      <c r="B76" s="1">
        <v>1.0</v>
      </c>
      <c r="C76" s="1" t="s">
        <v>5539</v>
      </c>
      <c r="D76" s="1" t="s">
        <v>5068</v>
      </c>
      <c r="F76" s="1" t="s">
        <v>5540</v>
      </c>
      <c r="G76" s="1" t="s">
        <v>5115</v>
      </c>
      <c r="H76" s="1" t="s">
        <v>5102</v>
      </c>
      <c r="I76" s="1" t="s">
        <v>18</v>
      </c>
      <c r="J76" s="1" t="s">
        <v>1105</v>
      </c>
      <c r="K76" s="6" t="s">
        <v>5541</v>
      </c>
      <c r="L76" s="6" t="s">
        <v>5542</v>
      </c>
      <c r="M76" s="1" t="s">
        <v>5125</v>
      </c>
      <c r="O76" s="5">
        <v>35065.0</v>
      </c>
      <c r="R76" s="1" t="b">
        <v>0</v>
      </c>
      <c r="S76" s="1">
        <v>0.0</v>
      </c>
      <c r="T76" s="1">
        <v>419.0</v>
      </c>
      <c r="U76" s="1" t="b">
        <v>0</v>
      </c>
      <c r="V76" s="1" t="s">
        <v>5106</v>
      </c>
      <c r="W76" s="1" t="s">
        <v>5543</v>
      </c>
      <c r="X76" s="1">
        <v>408.0</v>
      </c>
      <c r="Y76" s="1" t="s">
        <v>5075</v>
      </c>
      <c r="Z76" s="1" t="s">
        <v>3787</v>
      </c>
      <c r="AC76" s="1" t="s">
        <v>5077</v>
      </c>
      <c r="AD76" s="1" t="s">
        <v>5093</v>
      </c>
      <c r="AG76" s="5">
        <v>42860.0</v>
      </c>
      <c r="AH76" s="1">
        <v>302399.0</v>
      </c>
    </row>
    <row r="77">
      <c r="A77" s="1">
        <v>3486.0</v>
      </c>
      <c r="B77" s="1">
        <v>0.0</v>
      </c>
      <c r="C77" s="1" t="s">
        <v>608</v>
      </c>
      <c r="D77" s="1" t="s">
        <v>5068</v>
      </c>
      <c r="E77" s="5">
        <v>44645.0</v>
      </c>
      <c r="F77" s="1" t="s">
        <v>609</v>
      </c>
      <c r="G77" s="1" t="s">
        <v>5368</v>
      </c>
      <c r="H77" s="1" t="s">
        <v>5102</v>
      </c>
      <c r="I77" s="1" t="s">
        <v>18</v>
      </c>
      <c r="J77" s="1" t="s">
        <v>5149</v>
      </c>
      <c r="K77" s="6" t="s">
        <v>5544</v>
      </c>
      <c r="L77" s="6" t="s">
        <v>5545</v>
      </c>
      <c r="M77" s="1" t="s">
        <v>5125</v>
      </c>
      <c r="O77" s="5">
        <v>35065.0</v>
      </c>
      <c r="R77" s="1" t="b">
        <v>0</v>
      </c>
      <c r="S77" s="1">
        <v>0.0</v>
      </c>
      <c r="T77" s="1">
        <v>505.0</v>
      </c>
      <c r="U77" s="1" t="b">
        <v>0</v>
      </c>
      <c r="V77" s="1" t="s">
        <v>5546</v>
      </c>
      <c r="W77" s="1" t="s">
        <v>5547</v>
      </c>
      <c r="X77" s="1">
        <v>200.0</v>
      </c>
      <c r="Y77" s="1" t="s">
        <v>5075</v>
      </c>
      <c r="Z77" s="1" t="s">
        <v>5548</v>
      </c>
      <c r="AC77" s="1" t="s">
        <v>5077</v>
      </c>
      <c r="AD77" s="1" t="s">
        <v>5078</v>
      </c>
      <c r="AG77" s="5">
        <v>42860.0</v>
      </c>
      <c r="AH77" s="1">
        <v>343345.0</v>
      </c>
    </row>
    <row r="78">
      <c r="A78" s="1">
        <v>3512.0</v>
      </c>
      <c r="B78" s="1">
        <v>0.0</v>
      </c>
      <c r="C78" s="1" t="s">
        <v>5549</v>
      </c>
      <c r="D78" s="1" t="s">
        <v>5068</v>
      </c>
      <c r="E78" s="5">
        <v>44485.0</v>
      </c>
      <c r="F78" s="1" t="s">
        <v>5550</v>
      </c>
      <c r="G78" s="1" t="s">
        <v>26</v>
      </c>
      <c r="H78" s="1" t="s">
        <v>5102</v>
      </c>
      <c r="I78" s="1" t="s">
        <v>18</v>
      </c>
      <c r="J78" s="1" t="s">
        <v>70</v>
      </c>
      <c r="K78" s="6" t="s">
        <v>5551</v>
      </c>
      <c r="L78" s="6" t="s">
        <v>5552</v>
      </c>
      <c r="M78" s="1" t="s">
        <v>5553</v>
      </c>
      <c r="O78" s="5">
        <v>36161.0</v>
      </c>
      <c r="R78" s="1" t="b">
        <v>0</v>
      </c>
      <c r="S78" s="1">
        <v>0.0</v>
      </c>
      <c r="T78" s="1">
        <v>535.0</v>
      </c>
      <c r="U78" s="1" t="b">
        <v>0</v>
      </c>
      <c r="V78" s="1" t="s">
        <v>5554</v>
      </c>
      <c r="W78" s="1" t="s">
        <v>5555</v>
      </c>
      <c r="X78" s="1">
        <v>200.0</v>
      </c>
      <c r="Z78" s="1" t="s">
        <v>4022</v>
      </c>
      <c r="AG78" s="5">
        <v>42860.0</v>
      </c>
    </row>
    <row r="79">
      <c r="A79" s="1">
        <v>3518.0</v>
      </c>
      <c r="B79" s="1">
        <v>1.0</v>
      </c>
      <c r="C79" s="1" t="s">
        <v>5556</v>
      </c>
      <c r="D79" s="1" t="s">
        <v>5068</v>
      </c>
      <c r="E79" s="5">
        <v>44182.0</v>
      </c>
      <c r="F79" s="1" t="s">
        <v>5557</v>
      </c>
      <c r="G79" s="1" t="s">
        <v>26</v>
      </c>
      <c r="H79" s="1" t="s">
        <v>5102</v>
      </c>
      <c r="I79" s="1" t="s">
        <v>18</v>
      </c>
      <c r="J79" s="1" t="s">
        <v>221</v>
      </c>
      <c r="K79" s="6" t="s">
        <v>5558</v>
      </c>
      <c r="L79" s="6" t="s">
        <v>5559</v>
      </c>
      <c r="M79" s="1" t="s">
        <v>5125</v>
      </c>
      <c r="O79" s="5">
        <v>39448.0</v>
      </c>
      <c r="R79" s="1" t="b">
        <v>0</v>
      </c>
      <c r="S79" s="1">
        <v>0.0</v>
      </c>
      <c r="T79" s="1">
        <v>542.0</v>
      </c>
      <c r="U79" s="1" t="b">
        <v>0</v>
      </c>
      <c r="V79" s="1" t="s">
        <v>5106</v>
      </c>
      <c r="W79" s="1" t="s">
        <v>5560</v>
      </c>
      <c r="X79" s="1">
        <v>200.0</v>
      </c>
      <c r="Z79" s="1" t="s">
        <v>5169</v>
      </c>
      <c r="AC79" s="1" t="s">
        <v>5077</v>
      </c>
      <c r="AD79" s="1" t="s">
        <v>5093</v>
      </c>
      <c r="AG79" s="5">
        <v>42860.0</v>
      </c>
      <c r="AH79" s="1">
        <v>286230.0</v>
      </c>
    </row>
    <row r="80">
      <c r="A80" s="1">
        <v>3519.0</v>
      </c>
      <c r="B80" s="1">
        <v>1.0</v>
      </c>
      <c r="C80" s="1" t="s">
        <v>5561</v>
      </c>
      <c r="D80" s="1" t="s">
        <v>5068</v>
      </c>
      <c r="E80" s="5">
        <v>44182.0</v>
      </c>
      <c r="F80" s="1" t="s">
        <v>5562</v>
      </c>
      <c r="G80" s="1" t="s">
        <v>26</v>
      </c>
      <c r="H80" s="1" t="s">
        <v>5102</v>
      </c>
      <c r="I80" s="1" t="s">
        <v>18</v>
      </c>
      <c r="J80" s="1" t="s">
        <v>221</v>
      </c>
      <c r="K80" s="6" t="s">
        <v>5563</v>
      </c>
      <c r="L80" s="6" t="s">
        <v>5564</v>
      </c>
      <c r="M80" s="1" t="s">
        <v>5125</v>
      </c>
      <c r="O80" s="5">
        <v>39814.0</v>
      </c>
      <c r="R80" s="1" t="b">
        <v>0</v>
      </c>
      <c r="S80" s="1">
        <v>0.0</v>
      </c>
      <c r="T80" s="1">
        <v>542.0</v>
      </c>
      <c r="U80" s="1" t="b">
        <v>0</v>
      </c>
      <c r="V80" s="1" t="s">
        <v>5106</v>
      </c>
      <c r="W80" s="1" t="s">
        <v>5565</v>
      </c>
      <c r="X80" s="1">
        <v>200.0</v>
      </c>
      <c r="Y80" s="1" t="s">
        <v>5075</v>
      </c>
      <c r="Z80" s="1" t="s">
        <v>5169</v>
      </c>
      <c r="AC80" s="1" t="s">
        <v>5077</v>
      </c>
      <c r="AD80" s="1" t="s">
        <v>5093</v>
      </c>
      <c r="AG80" s="5">
        <v>42860.0</v>
      </c>
      <c r="AH80" s="1">
        <v>286196.0</v>
      </c>
    </row>
    <row r="81">
      <c r="A81" s="1">
        <v>3520.0</v>
      </c>
      <c r="B81" s="1">
        <v>1.0</v>
      </c>
      <c r="C81" s="1" t="s">
        <v>5566</v>
      </c>
      <c r="D81" s="1" t="s">
        <v>5068</v>
      </c>
      <c r="E81" s="5">
        <v>44182.0</v>
      </c>
      <c r="F81" s="1" t="s">
        <v>5567</v>
      </c>
      <c r="G81" s="1" t="s">
        <v>5568</v>
      </c>
      <c r="H81" s="1" t="s">
        <v>5102</v>
      </c>
      <c r="I81" s="1" t="s">
        <v>18</v>
      </c>
      <c r="J81" s="1" t="s">
        <v>221</v>
      </c>
      <c r="K81" s="6" t="s">
        <v>5569</v>
      </c>
      <c r="L81" s="6" t="s">
        <v>5570</v>
      </c>
      <c r="M81" s="1" t="s">
        <v>5125</v>
      </c>
      <c r="O81" s="5">
        <v>39083.0</v>
      </c>
      <c r="R81" s="1" t="b">
        <v>0</v>
      </c>
      <c r="S81" s="1">
        <v>0.0</v>
      </c>
      <c r="T81" s="1">
        <v>542.0</v>
      </c>
      <c r="U81" s="1" t="b">
        <v>0</v>
      </c>
      <c r="V81" s="1" t="s">
        <v>5106</v>
      </c>
      <c r="W81" s="1" t="s">
        <v>5571</v>
      </c>
      <c r="X81" s="1">
        <v>200.0</v>
      </c>
      <c r="Y81" s="1" t="s">
        <v>5075</v>
      </c>
      <c r="Z81" s="1" t="s">
        <v>5169</v>
      </c>
      <c r="AC81" s="1" t="s">
        <v>5077</v>
      </c>
      <c r="AD81" s="1" t="s">
        <v>5093</v>
      </c>
      <c r="AG81" s="5">
        <v>42860.0</v>
      </c>
      <c r="AH81" s="1">
        <v>286231.0</v>
      </c>
    </row>
    <row r="82">
      <c r="A82" s="1">
        <v>3521.0</v>
      </c>
      <c r="B82" s="1">
        <v>0.0</v>
      </c>
      <c r="C82" s="1" t="s">
        <v>5572</v>
      </c>
      <c r="D82" s="1" t="s">
        <v>5068</v>
      </c>
      <c r="F82" s="1" t="s">
        <v>5573</v>
      </c>
      <c r="G82" s="1" t="s">
        <v>5574</v>
      </c>
      <c r="H82" s="1" t="s">
        <v>5102</v>
      </c>
      <c r="I82" s="1" t="s">
        <v>18</v>
      </c>
      <c r="J82" s="1" t="s">
        <v>221</v>
      </c>
      <c r="K82" s="6" t="s">
        <v>5575</v>
      </c>
      <c r="L82" s="6" t="s">
        <v>5576</v>
      </c>
      <c r="M82" s="1" t="s">
        <v>5125</v>
      </c>
      <c r="O82" s="5">
        <v>40179.0</v>
      </c>
      <c r="R82" s="1" t="b">
        <v>0</v>
      </c>
      <c r="S82" s="1">
        <v>0.0</v>
      </c>
      <c r="T82" s="1">
        <v>542.0</v>
      </c>
      <c r="U82" s="1" t="b">
        <v>0</v>
      </c>
      <c r="V82" s="1" t="s">
        <v>5132</v>
      </c>
      <c r="W82" s="1" t="s">
        <v>5577</v>
      </c>
      <c r="X82" s="1">
        <v>200.0</v>
      </c>
      <c r="Z82" s="1" t="s">
        <v>5169</v>
      </c>
      <c r="AG82" s="5">
        <v>42860.0</v>
      </c>
    </row>
    <row r="83">
      <c r="A83" s="1">
        <v>3522.0</v>
      </c>
      <c r="B83" s="1">
        <v>0.0</v>
      </c>
      <c r="C83" s="1" t="s">
        <v>5578</v>
      </c>
      <c r="D83" s="1" t="s">
        <v>5068</v>
      </c>
      <c r="F83" s="1" t="s">
        <v>5579</v>
      </c>
      <c r="G83" s="1" t="s">
        <v>5568</v>
      </c>
      <c r="H83" s="1" t="s">
        <v>5102</v>
      </c>
      <c r="I83" s="1" t="s">
        <v>18</v>
      </c>
      <c r="J83" s="1" t="s">
        <v>221</v>
      </c>
      <c r="K83" s="6" t="s">
        <v>5580</v>
      </c>
      <c r="L83" s="6" t="s">
        <v>5581</v>
      </c>
      <c r="M83" s="1" t="s">
        <v>5125</v>
      </c>
      <c r="O83" s="5">
        <v>39083.0</v>
      </c>
      <c r="R83" s="1" t="b">
        <v>0</v>
      </c>
      <c r="S83" s="1">
        <v>0.0</v>
      </c>
      <c r="T83" s="1">
        <v>542.0</v>
      </c>
      <c r="U83" s="1" t="b">
        <v>0</v>
      </c>
      <c r="V83" s="1" t="s">
        <v>5106</v>
      </c>
      <c r="W83" s="1" t="s">
        <v>5582</v>
      </c>
      <c r="X83" s="1">
        <v>200.0</v>
      </c>
      <c r="Z83" s="1" t="s">
        <v>5169</v>
      </c>
      <c r="AG83" s="5">
        <v>42860.0</v>
      </c>
    </row>
    <row r="84">
      <c r="A84" s="1">
        <v>3562.0</v>
      </c>
      <c r="B84" s="1">
        <v>0.0</v>
      </c>
      <c r="C84" s="1" t="s">
        <v>5583</v>
      </c>
      <c r="D84" s="1" t="s">
        <v>5068</v>
      </c>
      <c r="F84" s="1" t="s">
        <v>5584</v>
      </c>
      <c r="G84" s="1" t="s">
        <v>5368</v>
      </c>
      <c r="H84" s="1" t="s">
        <v>5102</v>
      </c>
      <c r="I84" s="1" t="s">
        <v>356</v>
      </c>
      <c r="J84" s="1" t="s">
        <v>14</v>
      </c>
      <c r="K84" s="6" t="s">
        <v>5585</v>
      </c>
      <c r="L84" s="6" t="s">
        <v>5586</v>
      </c>
      <c r="M84" s="1" t="s">
        <v>5587</v>
      </c>
      <c r="R84" s="1" t="b">
        <v>0</v>
      </c>
      <c r="S84" s="1">
        <v>0.0</v>
      </c>
      <c r="T84" s="1">
        <v>587.0</v>
      </c>
      <c r="U84" s="1" t="b">
        <v>0</v>
      </c>
      <c r="V84" s="1" t="s">
        <v>5588</v>
      </c>
      <c r="W84" s="1" t="s">
        <v>5589</v>
      </c>
      <c r="X84" s="1">
        <v>200.0</v>
      </c>
      <c r="Z84" s="1" t="s">
        <v>5590</v>
      </c>
      <c r="AG84" s="5">
        <v>42860.0</v>
      </c>
    </row>
    <row r="85">
      <c r="A85" s="1">
        <v>3563.0</v>
      </c>
      <c r="B85" s="1">
        <v>0.0</v>
      </c>
      <c r="C85" s="1" t="s">
        <v>5591</v>
      </c>
      <c r="D85" s="1" t="s">
        <v>5068</v>
      </c>
      <c r="F85" s="1" t="s">
        <v>5592</v>
      </c>
      <c r="G85" s="1" t="s">
        <v>5593</v>
      </c>
      <c r="H85" s="1" t="s">
        <v>5102</v>
      </c>
      <c r="I85" s="1" t="s">
        <v>356</v>
      </c>
      <c r="J85" s="1" t="s">
        <v>14</v>
      </c>
      <c r="K85" s="1" t="s">
        <v>5072</v>
      </c>
      <c r="L85" s="6" t="s">
        <v>5594</v>
      </c>
      <c r="M85" s="1" t="s">
        <v>5595</v>
      </c>
      <c r="R85" s="1" t="b">
        <v>0</v>
      </c>
      <c r="S85" s="1">
        <v>0.0</v>
      </c>
      <c r="T85" s="1">
        <v>587.0</v>
      </c>
      <c r="U85" s="1" t="b">
        <v>0</v>
      </c>
      <c r="V85" s="1" t="s">
        <v>5526</v>
      </c>
      <c r="X85" s="1">
        <v>408.0</v>
      </c>
      <c r="Z85" s="1" t="s">
        <v>5590</v>
      </c>
      <c r="AG85" s="5">
        <v>42860.0</v>
      </c>
    </row>
    <row r="86">
      <c r="A86" s="1">
        <v>3571.0</v>
      </c>
      <c r="B86" s="1">
        <v>1.0</v>
      </c>
      <c r="C86" s="1" t="s">
        <v>5596</v>
      </c>
      <c r="D86" s="1" t="s">
        <v>5068</v>
      </c>
      <c r="E86" s="5">
        <v>44372.0</v>
      </c>
      <c r="F86" s="1" t="s">
        <v>5597</v>
      </c>
      <c r="G86" s="1" t="s">
        <v>5115</v>
      </c>
      <c r="H86" s="1" t="s">
        <v>5102</v>
      </c>
      <c r="I86" s="1" t="s">
        <v>18</v>
      </c>
      <c r="J86" s="1" t="s">
        <v>14</v>
      </c>
      <c r="K86" s="6" t="s">
        <v>5598</v>
      </c>
      <c r="L86" s="6" t="s">
        <v>5599</v>
      </c>
      <c r="M86" s="1" t="s">
        <v>5600</v>
      </c>
      <c r="R86" s="1" t="b">
        <v>0</v>
      </c>
      <c r="S86" s="1">
        <v>0.0</v>
      </c>
      <c r="T86" s="1">
        <v>604.0</v>
      </c>
      <c r="U86" s="1" t="b">
        <v>0</v>
      </c>
      <c r="V86" s="1" t="s">
        <v>5153</v>
      </c>
      <c r="W86" s="1" t="s">
        <v>5601</v>
      </c>
      <c r="X86" s="1">
        <v>200.0</v>
      </c>
      <c r="Y86" s="1" t="s">
        <v>5075</v>
      </c>
      <c r="Z86" s="1" t="s">
        <v>5173</v>
      </c>
      <c r="AC86" s="1" t="s">
        <v>5077</v>
      </c>
      <c r="AD86" s="1" t="s">
        <v>5093</v>
      </c>
      <c r="AG86" s="5">
        <v>42860.0</v>
      </c>
      <c r="AH86" s="1">
        <v>154892.0</v>
      </c>
    </row>
    <row r="87">
      <c r="A87" s="1">
        <v>3576.0</v>
      </c>
      <c r="B87" s="1">
        <v>0.0</v>
      </c>
      <c r="C87" s="1" t="s">
        <v>116</v>
      </c>
      <c r="D87" s="1" t="s">
        <v>5068</v>
      </c>
      <c r="E87" s="5">
        <v>44880.0</v>
      </c>
      <c r="F87" s="1" t="s">
        <v>117</v>
      </c>
      <c r="G87" s="1" t="s">
        <v>26</v>
      </c>
      <c r="H87" s="1" t="s">
        <v>5102</v>
      </c>
      <c r="I87" s="1" t="s">
        <v>18</v>
      </c>
      <c r="J87" s="1" t="s">
        <v>21</v>
      </c>
      <c r="K87" s="6" t="s">
        <v>5602</v>
      </c>
      <c r="L87" s="6" t="s">
        <v>5603</v>
      </c>
      <c r="M87" s="1" t="s">
        <v>5604</v>
      </c>
      <c r="O87" s="5">
        <v>25934.0</v>
      </c>
      <c r="R87" s="1" t="b">
        <v>0</v>
      </c>
      <c r="S87" s="1">
        <v>0.0</v>
      </c>
      <c r="T87" s="1">
        <v>609.0</v>
      </c>
      <c r="U87" s="1" t="b">
        <v>0</v>
      </c>
      <c r="V87" s="1" t="s">
        <v>5182</v>
      </c>
      <c r="W87" s="1" t="s">
        <v>5605</v>
      </c>
      <c r="X87" s="1">
        <v>200.0</v>
      </c>
      <c r="Y87" s="1" t="s">
        <v>5142</v>
      </c>
      <c r="Z87" s="1" t="s">
        <v>758</v>
      </c>
      <c r="AC87" s="1" t="s">
        <v>5077</v>
      </c>
      <c r="AD87" s="1" t="s">
        <v>5093</v>
      </c>
      <c r="AG87" s="5">
        <v>42860.0</v>
      </c>
      <c r="AH87" s="1">
        <v>370730.0</v>
      </c>
    </row>
    <row r="88">
      <c r="A88" s="1">
        <v>3697.0</v>
      </c>
      <c r="B88" s="1">
        <v>0.0</v>
      </c>
      <c r="C88" s="1" t="s">
        <v>5606</v>
      </c>
      <c r="D88" s="1" t="s">
        <v>5068</v>
      </c>
      <c r="F88" s="1" t="s">
        <v>5607</v>
      </c>
      <c r="G88" s="1" t="s">
        <v>5115</v>
      </c>
      <c r="H88" s="1" t="s">
        <v>5608</v>
      </c>
      <c r="I88" s="1" t="s">
        <v>18</v>
      </c>
      <c r="J88" s="1" t="s">
        <v>21</v>
      </c>
      <c r="K88" s="6" t="s">
        <v>5609</v>
      </c>
      <c r="L88" s="6" t="s">
        <v>5610</v>
      </c>
      <c r="M88" s="1" t="s">
        <v>5611</v>
      </c>
      <c r="R88" s="1" t="b">
        <v>0</v>
      </c>
      <c r="S88" s="1">
        <v>0.0</v>
      </c>
      <c r="T88" s="1">
        <v>297.0</v>
      </c>
      <c r="U88" s="1" t="b">
        <v>0</v>
      </c>
      <c r="V88" s="1" t="s">
        <v>5247</v>
      </c>
      <c r="W88" s="1" t="s">
        <v>5612</v>
      </c>
      <c r="X88" s="1">
        <v>200.0</v>
      </c>
      <c r="Y88" s="1" t="s">
        <v>5142</v>
      </c>
      <c r="Z88" s="1" t="s">
        <v>5613</v>
      </c>
      <c r="AC88" s="1" t="s">
        <v>5077</v>
      </c>
      <c r="AD88" s="1" t="s">
        <v>5093</v>
      </c>
      <c r="AG88" s="5">
        <v>42887.0</v>
      </c>
      <c r="AH88" s="1">
        <v>1244.0</v>
      </c>
    </row>
    <row r="89">
      <c r="A89" s="1">
        <v>3698.0</v>
      </c>
      <c r="B89" s="1">
        <v>0.0</v>
      </c>
      <c r="C89" s="1" t="s">
        <v>5614</v>
      </c>
      <c r="D89" s="1" t="s">
        <v>5068</v>
      </c>
      <c r="F89" s="1" t="s">
        <v>5615</v>
      </c>
      <c r="G89" s="1" t="s">
        <v>26</v>
      </c>
      <c r="H89" s="1" t="s">
        <v>5608</v>
      </c>
      <c r="I89" s="1" t="s">
        <v>18</v>
      </c>
      <c r="J89" s="1" t="s">
        <v>21</v>
      </c>
      <c r="K89" s="6" t="s">
        <v>5616</v>
      </c>
      <c r="L89" s="6" t="s">
        <v>5617</v>
      </c>
      <c r="M89" s="1" t="s">
        <v>5618</v>
      </c>
      <c r="R89" s="1" t="b">
        <v>0</v>
      </c>
      <c r="S89" s="1">
        <v>0.0</v>
      </c>
      <c r="T89" s="1">
        <v>297.0</v>
      </c>
      <c r="U89" s="1" t="b">
        <v>0</v>
      </c>
      <c r="V89" s="1" t="s">
        <v>5247</v>
      </c>
      <c r="W89" s="1" t="s">
        <v>5619</v>
      </c>
      <c r="X89" s="1">
        <v>200.0</v>
      </c>
      <c r="Y89" s="1" t="s">
        <v>5142</v>
      </c>
      <c r="Z89" s="1" t="s">
        <v>5613</v>
      </c>
      <c r="AC89" s="1" t="s">
        <v>5077</v>
      </c>
      <c r="AD89" s="1" t="s">
        <v>5093</v>
      </c>
      <c r="AG89" s="5">
        <v>42887.0</v>
      </c>
      <c r="AH89" s="1">
        <v>1340.0</v>
      </c>
    </row>
    <row r="90">
      <c r="A90" s="1">
        <v>3701.0</v>
      </c>
      <c r="B90" s="1">
        <v>1.0</v>
      </c>
      <c r="C90" s="1" t="s">
        <v>5620</v>
      </c>
      <c r="D90" s="1" t="s">
        <v>5068</v>
      </c>
      <c r="E90" s="5">
        <v>44895.0</v>
      </c>
      <c r="F90" s="1" t="s">
        <v>5621</v>
      </c>
      <c r="G90" s="1" t="s">
        <v>5622</v>
      </c>
      <c r="H90" s="1" t="s">
        <v>5102</v>
      </c>
      <c r="I90" s="1" t="s">
        <v>18</v>
      </c>
      <c r="J90" s="1" t="s">
        <v>21</v>
      </c>
      <c r="K90" s="6" t="s">
        <v>5623</v>
      </c>
      <c r="L90" s="6" t="s">
        <v>5624</v>
      </c>
      <c r="M90" s="1" t="s">
        <v>5625</v>
      </c>
      <c r="O90" s="5">
        <v>36526.0</v>
      </c>
      <c r="R90" s="1" t="b">
        <v>0</v>
      </c>
      <c r="S90" s="1">
        <v>0.0</v>
      </c>
      <c r="U90" s="1" t="b">
        <v>0</v>
      </c>
      <c r="V90" s="1" t="s">
        <v>5626</v>
      </c>
      <c r="W90" s="1" t="s">
        <v>5627</v>
      </c>
      <c r="X90" s="1">
        <v>200.0</v>
      </c>
      <c r="Y90" s="1" t="s">
        <v>5142</v>
      </c>
      <c r="AC90" s="1" t="s">
        <v>5077</v>
      </c>
      <c r="AD90" s="1" t="s">
        <v>5093</v>
      </c>
      <c r="AG90" s="5">
        <v>42888.0</v>
      </c>
      <c r="AH90" s="1">
        <v>964.0</v>
      </c>
    </row>
    <row r="91">
      <c r="A91" s="1">
        <v>3705.0</v>
      </c>
      <c r="B91" s="1">
        <v>0.0</v>
      </c>
      <c r="C91" s="1" t="s">
        <v>32</v>
      </c>
      <c r="D91" s="1" t="s">
        <v>5068</v>
      </c>
      <c r="E91" s="5">
        <v>44895.0</v>
      </c>
      <c r="F91" s="1" t="s">
        <v>5628</v>
      </c>
      <c r="G91" s="1" t="s">
        <v>5115</v>
      </c>
      <c r="H91" s="1" t="s">
        <v>5102</v>
      </c>
      <c r="I91" s="1" t="s">
        <v>18</v>
      </c>
      <c r="J91" s="1" t="s">
        <v>21</v>
      </c>
      <c r="K91" s="6" t="s">
        <v>5629</v>
      </c>
      <c r="L91" s="6" t="s">
        <v>5630</v>
      </c>
      <c r="M91" s="1" t="s">
        <v>5631</v>
      </c>
      <c r="O91" s="5">
        <v>36526.0</v>
      </c>
      <c r="R91" s="1" t="b">
        <v>0</v>
      </c>
      <c r="S91" s="1">
        <v>0.0</v>
      </c>
      <c r="U91" s="1" t="b">
        <v>0</v>
      </c>
      <c r="V91" s="1" t="s">
        <v>5632</v>
      </c>
      <c r="W91" s="1" t="s">
        <v>5633</v>
      </c>
      <c r="X91" s="1">
        <v>200.0</v>
      </c>
      <c r="Y91" s="1" t="s">
        <v>5142</v>
      </c>
      <c r="AC91" s="1" t="s">
        <v>5077</v>
      </c>
      <c r="AD91" s="1" t="s">
        <v>5093</v>
      </c>
      <c r="AG91" s="5">
        <v>42888.0</v>
      </c>
      <c r="AH91" s="1">
        <v>203754.0</v>
      </c>
    </row>
    <row r="92">
      <c r="A92" s="1">
        <v>3706.0</v>
      </c>
      <c r="B92" s="1">
        <v>0.0</v>
      </c>
      <c r="C92" s="1" t="s">
        <v>104</v>
      </c>
      <c r="D92" s="1" t="s">
        <v>5068</v>
      </c>
      <c r="E92" s="5">
        <v>44880.0</v>
      </c>
      <c r="F92" s="1" t="s">
        <v>105</v>
      </c>
      <c r="G92" s="1" t="s">
        <v>5115</v>
      </c>
      <c r="H92" s="1" t="s">
        <v>5102</v>
      </c>
      <c r="I92" s="1" t="s">
        <v>18</v>
      </c>
      <c r="J92" s="1" t="s">
        <v>21</v>
      </c>
      <c r="K92" s="6" t="s">
        <v>5634</v>
      </c>
      <c r="L92" s="6" t="s">
        <v>5635</v>
      </c>
      <c r="M92" s="1" t="s">
        <v>5636</v>
      </c>
      <c r="O92" s="5">
        <v>35431.0</v>
      </c>
      <c r="R92" s="1" t="b">
        <v>0</v>
      </c>
      <c r="S92" s="1">
        <v>0.0</v>
      </c>
      <c r="T92" s="1">
        <v>3705.0</v>
      </c>
      <c r="U92" s="1" t="b">
        <v>0</v>
      </c>
      <c r="V92" s="1" t="s">
        <v>5637</v>
      </c>
      <c r="W92" s="1" t="s">
        <v>5638</v>
      </c>
      <c r="X92" s="1">
        <v>200.0</v>
      </c>
      <c r="Y92" s="1" t="s">
        <v>5142</v>
      </c>
      <c r="Z92" s="1" t="s">
        <v>5628</v>
      </c>
      <c r="AC92" s="1" t="s">
        <v>5077</v>
      </c>
      <c r="AD92" s="1" t="s">
        <v>5093</v>
      </c>
      <c r="AG92" s="5">
        <v>42888.0</v>
      </c>
      <c r="AH92" s="1">
        <v>370448.0</v>
      </c>
    </row>
    <row r="93">
      <c r="A93" s="1">
        <v>3707.0</v>
      </c>
      <c r="B93" s="1">
        <v>1.0</v>
      </c>
      <c r="C93" s="1" t="s">
        <v>5639</v>
      </c>
      <c r="D93" s="1" t="s">
        <v>5068</v>
      </c>
      <c r="F93" s="1" t="s">
        <v>5640</v>
      </c>
      <c r="G93" s="1" t="s">
        <v>26</v>
      </c>
      <c r="H93" s="1" t="s">
        <v>5419</v>
      </c>
      <c r="I93" s="1" t="s">
        <v>18</v>
      </c>
      <c r="J93" s="1" t="s">
        <v>21</v>
      </c>
      <c r="K93" s="6" t="s">
        <v>5641</v>
      </c>
      <c r="L93" s="6" t="s">
        <v>5642</v>
      </c>
      <c r="M93" s="1" t="s">
        <v>5643</v>
      </c>
      <c r="R93" s="1" t="b">
        <v>0</v>
      </c>
      <c r="S93" s="1">
        <v>0.0</v>
      </c>
      <c r="T93" s="1">
        <v>3711.0</v>
      </c>
      <c r="U93" s="1" t="b">
        <v>0</v>
      </c>
      <c r="V93" s="1" t="s">
        <v>5644</v>
      </c>
      <c r="W93" s="1" t="s">
        <v>5645</v>
      </c>
      <c r="X93" s="1">
        <v>200.0</v>
      </c>
      <c r="Y93" s="1" t="s">
        <v>5142</v>
      </c>
      <c r="Z93" s="1" t="s">
        <v>752</v>
      </c>
      <c r="AC93" s="1" t="s">
        <v>5077</v>
      </c>
      <c r="AD93" s="1" t="s">
        <v>5093</v>
      </c>
      <c r="AG93" s="5">
        <v>42888.0</v>
      </c>
      <c r="AH93" s="1">
        <v>2667.0</v>
      </c>
    </row>
    <row r="94">
      <c r="A94" s="1">
        <v>3708.0</v>
      </c>
      <c r="B94" s="1">
        <v>0.0</v>
      </c>
      <c r="C94" s="1" t="s">
        <v>5646</v>
      </c>
      <c r="D94" s="1" t="s">
        <v>5068</v>
      </c>
      <c r="F94" s="1" t="s">
        <v>5647</v>
      </c>
      <c r="G94" s="1" t="s">
        <v>5115</v>
      </c>
      <c r="H94" s="1" t="s">
        <v>5608</v>
      </c>
      <c r="I94" s="1" t="s">
        <v>18</v>
      </c>
      <c r="J94" s="1" t="s">
        <v>21</v>
      </c>
      <c r="K94" s="6" t="s">
        <v>5648</v>
      </c>
      <c r="L94" s="6" t="s">
        <v>5649</v>
      </c>
      <c r="M94" s="1" t="s">
        <v>5650</v>
      </c>
      <c r="R94" s="1" t="b">
        <v>0</v>
      </c>
      <c r="S94" s="1">
        <v>0.0</v>
      </c>
      <c r="T94" s="1">
        <v>63.0</v>
      </c>
      <c r="U94" s="1" t="b">
        <v>0</v>
      </c>
      <c r="V94" s="1" t="s">
        <v>5651</v>
      </c>
      <c r="W94" s="1" t="s">
        <v>5652</v>
      </c>
      <c r="X94" s="1">
        <v>200.0</v>
      </c>
      <c r="Y94" s="1" t="s">
        <v>5142</v>
      </c>
      <c r="Z94" s="1" t="s">
        <v>4711</v>
      </c>
      <c r="AC94" s="1" t="s">
        <v>5077</v>
      </c>
      <c r="AD94" s="1" t="s">
        <v>5093</v>
      </c>
      <c r="AG94" s="5">
        <v>42888.0</v>
      </c>
      <c r="AH94" s="1">
        <v>1234.0</v>
      </c>
    </row>
    <row r="95">
      <c r="A95" s="1">
        <v>3709.0</v>
      </c>
      <c r="B95" s="1">
        <v>1.0</v>
      </c>
      <c r="C95" s="1" t="s">
        <v>86</v>
      </c>
      <c r="D95" s="1" t="s">
        <v>5068</v>
      </c>
      <c r="E95" s="5">
        <v>44561.0</v>
      </c>
      <c r="F95" s="1" t="s">
        <v>756</v>
      </c>
      <c r="G95" s="1" t="s">
        <v>5115</v>
      </c>
      <c r="H95" s="1" t="s">
        <v>5102</v>
      </c>
      <c r="I95" s="1" t="s">
        <v>18</v>
      </c>
      <c r="J95" s="1" t="s">
        <v>21</v>
      </c>
      <c r="K95" s="6" t="s">
        <v>5653</v>
      </c>
      <c r="L95" s="6" t="s">
        <v>5654</v>
      </c>
      <c r="M95" s="1" t="s">
        <v>5655</v>
      </c>
      <c r="O95" s="5">
        <v>36526.0</v>
      </c>
      <c r="R95" s="1" t="b">
        <v>0</v>
      </c>
      <c r="S95" s="1">
        <v>0.0</v>
      </c>
      <c r="U95" s="1" t="b">
        <v>0</v>
      </c>
      <c r="V95" s="1" t="s">
        <v>5656</v>
      </c>
      <c r="W95" s="1" t="s">
        <v>5657</v>
      </c>
      <c r="X95" s="1">
        <v>200.0</v>
      </c>
      <c r="Y95" s="1" t="s">
        <v>5142</v>
      </c>
      <c r="AC95" s="1" t="s">
        <v>5077</v>
      </c>
      <c r="AD95" s="1" t="s">
        <v>5093</v>
      </c>
      <c r="AG95" s="5">
        <v>42888.0</v>
      </c>
      <c r="AH95" s="1">
        <v>326537.0</v>
      </c>
    </row>
    <row r="96">
      <c r="A96" s="1">
        <v>3710.0</v>
      </c>
      <c r="B96" s="1">
        <v>1.0</v>
      </c>
      <c r="C96" s="1" t="s">
        <v>5658</v>
      </c>
      <c r="D96" s="1" t="s">
        <v>5068</v>
      </c>
      <c r="E96" s="5">
        <v>44545.0</v>
      </c>
      <c r="F96" s="1" t="s">
        <v>5659</v>
      </c>
      <c r="G96" s="1" t="s">
        <v>5115</v>
      </c>
      <c r="H96" s="1" t="s">
        <v>5102</v>
      </c>
      <c r="I96" s="1" t="s">
        <v>18</v>
      </c>
      <c r="J96" s="1" t="s">
        <v>21</v>
      </c>
      <c r="K96" s="6" t="s">
        <v>5660</v>
      </c>
      <c r="L96" s="6" t="s">
        <v>5661</v>
      </c>
      <c r="M96" s="1" t="s">
        <v>5662</v>
      </c>
      <c r="O96" s="5">
        <v>38353.0</v>
      </c>
      <c r="R96" s="1" t="b">
        <v>0</v>
      </c>
      <c r="S96" s="1">
        <v>0.0</v>
      </c>
      <c r="T96" s="1">
        <v>3709.0</v>
      </c>
      <c r="U96" s="1" t="b">
        <v>0</v>
      </c>
      <c r="V96" s="1" t="s">
        <v>5663</v>
      </c>
      <c r="W96" s="1" t="s">
        <v>5664</v>
      </c>
      <c r="X96" s="1">
        <v>200.0</v>
      </c>
      <c r="Y96" s="1" t="s">
        <v>5142</v>
      </c>
      <c r="Z96" s="1" t="s">
        <v>756</v>
      </c>
      <c r="AC96" s="1" t="s">
        <v>5077</v>
      </c>
      <c r="AD96" s="1" t="s">
        <v>5093</v>
      </c>
      <c r="AG96" s="5">
        <v>42888.0</v>
      </c>
      <c r="AH96" s="1">
        <v>323862.0</v>
      </c>
    </row>
    <row r="97">
      <c r="A97" s="1">
        <v>3711.0</v>
      </c>
      <c r="B97" s="1">
        <v>0.0</v>
      </c>
      <c r="C97" s="1" t="s">
        <v>751</v>
      </c>
      <c r="D97" s="1" t="s">
        <v>5068</v>
      </c>
      <c r="E97" s="5">
        <v>44895.0</v>
      </c>
      <c r="F97" s="1" t="s">
        <v>752</v>
      </c>
      <c r="G97" s="1" t="s">
        <v>5326</v>
      </c>
      <c r="H97" s="1" t="s">
        <v>5102</v>
      </c>
      <c r="I97" s="1" t="s">
        <v>18</v>
      </c>
      <c r="J97" s="1" t="s">
        <v>21</v>
      </c>
      <c r="K97" s="6" t="s">
        <v>5665</v>
      </c>
      <c r="L97" s="6" t="s">
        <v>5666</v>
      </c>
      <c r="M97" s="1" t="s">
        <v>5667</v>
      </c>
      <c r="O97" s="5">
        <v>40909.0</v>
      </c>
      <c r="R97" s="1" t="b">
        <v>0</v>
      </c>
      <c r="S97" s="1">
        <v>0.0</v>
      </c>
      <c r="U97" s="1" t="b">
        <v>0</v>
      </c>
      <c r="V97" s="1" t="s">
        <v>5182</v>
      </c>
      <c r="W97" s="1" t="s">
        <v>5668</v>
      </c>
      <c r="X97" s="1">
        <v>200.0</v>
      </c>
      <c r="Y97" s="1" t="s">
        <v>5142</v>
      </c>
      <c r="AC97" s="1" t="s">
        <v>5077</v>
      </c>
      <c r="AD97" s="1" t="s">
        <v>5093</v>
      </c>
      <c r="AG97" s="5">
        <v>42888.0</v>
      </c>
      <c r="AH97" s="1">
        <v>326658.0</v>
      </c>
    </row>
    <row r="98">
      <c r="A98" s="1">
        <v>3721.0</v>
      </c>
      <c r="B98" s="1">
        <v>1.0</v>
      </c>
      <c r="C98" s="1" t="s">
        <v>5669</v>
      </c>
      <c r="D98" s="1" t="s">
        <v>5068</v>
      </c>
      <c r="F98" s="1" t="s">
        <v>5670</v>
      </c>
      <c r="G98" s="1" t="s">
        <v>5115</v>
      </c>
      <c r="H98" s="1" t="s">
        <v>5102</v>
      </c>
      <c r="I98" s="1" t="s">
        <v>18</v>
      </c>
      <c r="J98" s="1" t="s">
        <v>24</v>
      </c>
      <c r="K98" s="6" t="s">
        <v>5671</v>
      </c>
      <c r="L98" s="6" t="s">
        <v>5672</v>
      </c>
      <c r="M98" s="1" t="s">
        <v>5673</v>
      </c>
      <c r="O98" s="5">
        <v>38353.0</v>
      </c>
      <c r="R98" s="1" t="b">
        <v>0</v>
      </c>
      <c r="S98" s="1">
        <v>0.0</v>
      </c>
      <c r="T98" s="1">
        <v>55.0</v>
      </c>
      <c r="U98" s="1" t="b">
        <v>0</v>
      </c>
      <c r="V98" s="1" t="s">
        <v>5674</v>
      </c>
      <c r="W98" s="1" t="s">
        <v>5675</v>
      </c>
      <c r="X98" s="1">
        <v>200.0</v>
      </c>
      <c r="Y98" s="1" t="s">
        <v>5075</v>
      </c>
      <c r="Z98" s="1" t="s">
        <v>49</v>
      </c>
      <c r="AC98" s="1" t="s">
        <v>5077</v>
      </c>
      <c r="AD98" s="1" t="s">
        <v>5093</v>
      </c>
      <c r="AG98" s="5">
        <v>42888.0</v>
      </c>
      <c r="AH98" s="1">
        <v>67026.0</v>
      </c>
    </row>
    <row r="99">
      <c r="A99" s="1">
        <v>3746.0</v>
      </c>
      <c r="B99" s="1">
        <v>1.0</v>
      </c>
      <c r="C99" s="1" t="s">
        <v>5676</v>
      </c>
      <c r="D99" s="1" t="s">
        <v>5068</v>
      </c>
      <c r="F99" s="1" t="s">
        <v>5677</v>
      </c>
      <c r="G99" s="1" t="s">
        <v>26</v>
      </c>
      <c r="H99" s="1" t="s">
        <v>5102</v>
      </c>
      <c r="I99" s="1" t="s">
        <v>18</v>
      </c>
      <c r="J99" s="1" t="s">
        <v>221</v>
      </c>
      <c r="K99" s="6" t="s">
        <v>5678</v>
      </c>
      <c r="L99" s="6" t="s">
        <v>5679</v>
      </c>
      <c r="M99" s="1" t="s">
        <v>5680</v>
      </c>
      <c r="O99" s="5">
        <v>33604.0</v>
      </c>
      <c r="R99" s="1" t="b">
        <v>0</v>
      </c>
      <c r="S99" s="1">
        <v>0.0</v>
      </c>
      <c r="T99" s="1">
        <v>9541.0</v>
      </c>
      <c r="U99" s="1" t="b">
        <v>0</v>
      </c>
      <c r="V99" s="1" t="s">
        <v>5681</v>
      </c>
      <c r="W99" s="1" t="s">
        <v>5682</v>
      </c>
      <c r="X99" s="1">
        <v>200.0</v>
      </c>
      <c r="Z99" s="1" t="s">
        <v>5683</v>
      </c>
      <c r="AC99" s="1" t="s">
        <v>5077</v>
      </c>
      <c r="AD99" s="1" t="s">
        <v>5093</v>
      </c>
      <c r="AG99" s="5">
        <v>42891.0</v>
      </c>
      <c r="AH99" s="1">
        <v>196.0</v>
      </c>
    </row>
    <row r="100">
      <c r="A100" s="1">
        <v>3751.0</v>
      </c>
      <c r="B100" s="1">
        <v>0.0</v>
      </c>
      <c r="C100" s="1" t="s">
        <v>5684</v>
      </c>
      <c r="D100" s="1" t="s">
        <v>5068</v>
      </c>
      <c r="F100" s="1" t="s">
        <v>5685</v>
      </c>
      <c r="G100" s="1" t="s">
        <v>26</v>
      </c>
      <c r="H100" s="1" t="s">
        <v>5419</v>
      </c>
      <c r="I100" s="1" t="s">
        <v>18</v>
      </c>
      <c r="J100" s="1" t="s">
        <v>5071</v>
      </c>
      <c r="K100" s="1" t="s">
        <v>5072</v>
      </c>
      <c r="L100" s="6" t="s">
        <v>5686</v>
      </c>
      <c r="M100" s="1" t="s">
        <v>5687</v>
      </c>
      <c r="O100" s="5">
        <v>39972.0</v>
      </c>
      <c r="P100" s="5">
        <v>39972.0</v>
      </c>
      <c r="R100" s="1" t="b">
        <v>0</v>
      </c>
      <c r="S100" s="1">
        <v>0.0</v>
      </c>
      <c r="T100" s="1">
        <v>3749.0</v>
      </c>
      <c r="U100" s="1" t="b">
        <v>0</v>
      </c>
      <c r="V100" s="1" t="s">
        <v>5688</v>
      </c>
      <c r="W100" s="1" t="s">
        <v>5689</v>
      </c>
      <c r="Y100" s="1" t="s">
        <v>5075</v>
      </c>
      <c r="Z100" s="1" t="s">
        <v>5690</v>
      </c>
      <c r="AC100" s="1" t="s">
        <v>5077</v>
      </c>
      <c r="AD100" s="1" t="s">
        <v>5093</v>
      </c>
      <c r="AG100" s="5">
        <v>42891.0</v>
      </c>
      <c r="AH100" s="1">
        <v>829.0</v>
      </c>
    </row>
    <row r="101">
      <c r="A101" s="1">
        <v>173045.0</v>
      </c>
      <c r="B101" s="1">
        <v>0.0</v>
      </c>
      <c r="C101" s="1" t="s">
        <v>5691</v>
      </c>
      <c r="D101" s="1" t="s">
        <v>5081</v>
      </c>
      <c r="F101" s="1" t="s">
        <v>5692</v>
      </c>
      <c r="G101" s="1" t="s">
        <v>26</v>
      </c>
      <c r="H101" s="1" t="s">
        <v>5419</v>
      </c>
      <c r="I101" s="1" t="s">
        <v>18</v>
      </c>
      <c r="J101" s="1" t="s">
        <v>5071</v>
      </c>
      <c r="K101" s="1" t="s">
        <v>5072</v>
      </c>
      <c r="L101" s="6" t="s">
        <v>5693</v>
      </c>
      <c r="M101" s="1" t="s">
        <v>5694</v>
      </c>
      <c r="O101" s="5">
        <v>39972.0</v>
      </c>
      <c r="P101" s="5">
        <v>39972.0</v>
      </c>
      <c r="R101" s="1" t="b">
        <v>0</v>
      </c>
      <c r="S101" s="1">
        <v>0.0</v>
      </c>
      <c r="T101" s="1">
        <v>3749.0</v>
      </c>
      <c r="U101" s="1" t="b">
        <v>0</v>
      </c>
      <c r="V101" s="1" t="s">
        <v>5688</v>
      </c>
      <c r="W101" s="1" t="s">
        <v>5689</v>
      </c>
      <c r="Z101" s="1" t="s">
        <v>5690</v>
      </c>
      <c r="AA101" s="1" t="s">
        <v>5685</v>
      </c>
      <c r="AG101" s="5">
        <v>43298.0</v>
      </c>
    </row>
    <row r="102">
      <c r="A102" s="1">
        <v>3752.0</v>
      </c>
      <c r="B102" s="1">
        <v>0.0</v>
      </c>
      <c r="C102" s="1" t="s">
        <v>5695</v>
      </c>
      <c r="D102" s="1" t="s">
        <v>5068</v>
      </c>
      <c r="F102" s="1" t="s">
        <v>5696</v>
      </c>
      <c r="G102" s="1" t="s">
        <v>26</v>
      </c>
      <c r="H102" s="1" t="s">
        <v>5419</v>
      </c>
      <c r="I102" s="1" t="s">
        <v>18</v>
      </c>
      <c r="J102" s="1" t="s">
        <v>5071</v>
      </c>
      <c r="K102" s="1" t="s">
        <v>5072</v>
      </c>
      <c r="L102" s="6" t="s">
        <v>5697</v>
      </c>
      <c r="M102" s="1" t="s">
        <v>5698</v>
      </c>
      <c r="O102" s="5">
        <v>42790.0</v>
      </c>
      <c r="P102" s="5">
        <v>42790.0</v>
      </c>
      <c r="R102" s="1" t="b">
        <v>0</v>
      </c>
      <c r="S102" s="1">
        <v>0.0</v>
      </c>
      <c r="T102" s="1">
        <v>3749.0</v>
      </c>
      <c r="U102" s="1" t="b">
        <v>0</v>
      </c>
      <c r="V102" s="1" t="s">
        <v>5699</v>
      </c>
      <c r="W102" s="1" t="s">
        <v>5700</v>
      </c>
      <c r="Y102" s="1" t="s">
        <v>5075</v>
      </c>
      <c r="Z102" s="1" t="s">
        <v>5690</v>
      </c>
      <c r="AC102" s="1" t="s">
        <v>5077</v>
      </c>
      <c r="AD102" s="1" t="s">
        <v>5093</v>
      </c>
      <c r="AG102" s="5">
        <v>42891.0</v>
      </c>
      <c r="AH102" s="1">
        <v>202.0</v>
      </c>
    </row>
    <row r="103">
      <c r="A103" s="1">
        <v>173046.0</v>
      </c>
      <c r="B103" s="1">
        <v>0.0</v>
      </c>
      <c r="C103" s="1" t="s">
        <v>5701</v>
      </c>
      <c r="D103" s="1" t="s">
        <v>5081</v>
      </c>
      <c r="F103" s="1" t="s">
        <v>5702</v>
      </c>
      <c r="G103" s="1" t="s">
        <v>26</v>
      </c>
      <c r="H103" s="1" t="s">
        <v>5419</v>
      </c>
      <c r="I103" s="1" t="s">
        <v>18</v>
      </c>
      <c r="J103" s="1" t="s">
        <v>5071</v>
      </c>
      <c r="K103" s="1" t="s">
        <v>5072</v>
      </c>
      <c r="L103" s="6" t="s">
        <v>5703</v>
      </c>
      <c r="M103" s="1" t="s">
        <v>5704</v>
      </c>
      <c r="O103" s="5">
        <v>42790.0</v>
      </c>
      <c r="P103" s="5">
        <v>42790.0</v>
      </c>
      <c r="R103" s="1" t="b">
        <v>0</v>
      </c>
      <c r="S103" s="1">
        <v>0.0</v>
      </c>
      <c r="T103" s="1">
        <v>3749.0</v>
      </c>
      <c r="U103" s="1" t="b">
        <v>0</v>
      </c>
      <c r="V103" s="1" t="s">
        <v>5699</v>
      </c>
      <c r="W103" s="1" t="s">
        <v>5700</v>
      </c>
      <c r="Z103" s="1" t="s">
        <v>5690</v>
      </c>
      <c r="AA103" s="1" t="s">
        <v>5696</v>
      </c>
      <c r="AG103" s="5">
        <v>43298.0</v>
      </c>
    </row>
    <row r="104">
      <c r="A104" s="1">
        <v>3753.0</v>
      </c>
      <c r="B104" s="1">
        <v>0.0</v>
      </c>
      <c r="C104" s="1" t="s">
        <v>5705</v>
      </c>
      <c r="D104" s="1" t="s">
        <v>5068</v>
      </c>
      <c r="E104" s="5">
        <v>44228.0</v>
      </c>
      <c r="F104" s="1" t="s">
        <v>5706</v>
      </c>
      <c r="G104" s="1" t="s">
        <v>26</v>
      </c>
      <c r="H104" s="1" t="s">
        <v>5070</v>
      </c>
      <c r="I104" s="1" t="s">
        <v>18</v>
      </c>
      <c r="J104" s="1" t="s">
        <v>5071</v>
      </c>
      <c r="K104" s="1" t="s">
        <v>5072</v>
      </c>
      <c r="L104" s="6" t="s">
        <v>5707</v>
      </c>
      <c r="M104" s="1" t="s">
        <v>5708</v>
      </c>
      <c r="R104" s="1" t="b">
        <v>0</v>
      </c>
      <c r="S104" s="1">
        <v>0.0</v>
      </c>
      <c r="T104" s="1">
        <v>3749.0</v>
      </c>
      <c r="U104" s="1" t="b">
        <v>0</v>
      </c>
      <c r="V104" s="1" t="s">
        <v>5699</v>
      </c>
      <c r="W104" s="1" t="s">
        <v>5709</v>
      </c>
      <c r="Y104" s="1" t="s">
        <v>5075</v>
      </c>
      <c r="Z104" s="1" t="s">
        <v>5690</v>
      </c>
      <c r="AC104" s="1" t="s">
        <v>5077</v>
      </c>
      <c r="AD104" s="1" t="s">
        <v>5093</v>
      </c>
      <c r="AG104" s="5">
        <v>42891.0</v>
      </c>
      <c r="AH104" s="1">
        <v>108842.0</v>
      </c>
    </row>
    <row r="105">
      <c r="A105" s="1">
        <v>173054.0</v>
      </c>
      <c r="B105" s="1">
        <v>0.0</v>
      </c>
      <c r="C105" s="1" t="s">
        <v>5710</v>
      </c>
      <c r="D105" s="1" t="s">
        <v>5081</v>
      </c>
      <c r="E105" s="5">
        <v>44228.0</v>
      </c>
      <c r="F105" s="1" t="s">
        <v>5711</v>
      </c>
      <c r="G105" s="1" t="s">
        <v>26</v>
      </c>
      <c r="H105" s="1" t="s">
        <v>5070</v>
      </c>
      <c r="I105" s="1" t="s">
        <v>18</v>
      </c>
      <c r="J105" s="1" t="s">
        <v>5071</v>
      </c>
      <c r="K105" s="1" t="s">
        <v>5072</v>
      </c>
      <c r="L105" s="6" t="s">
        <v>5712</v>
      </c>
      <c r="M105" s="1" t="s">
        <v>5713</v>
      </c>
      <c r="R105" s="1" t="b">
        <v>0</v>
      </c>
      <c r="S105" s="1">
        <v>0.0</v>
      </c>
      <c r="T105" s="1">
        <v>3749.0</v>
      </c>
      <c r="U105" s="1" t="b">
        <v>0</v>
      </c>
      <c r="V105" s="1" t="s">
        <v>5699</v>
      </c>
      <c r="W105" s="1" t="s">
        <v>5709</v>
      </c>
      <c r="Z105" s="1" t="s">
        <v>5690</v>
      </c>
      <c r="AA105" s="1" t="s">
        <v>5706</v>
      </c>
      <c r="AG105" s="5">
        <v>43298.0</v>
      </c>
    </row>
    <row r="106">
      <c r="A106" s="1">
        <v>3754.0</v>
      </c>
      <c r="B106" s="1">
        <v>0.0</v>
      </c>
      <c r="C106" s="1" t="s">
        <v>5714</v>
      </c>
      <c r="D106" s="1" t="s">
        <v>5068</v>
      </c>
      <c r="F106" s="1" t="s">
        <v>5715</v>
      </c>
      <c r="G106" s="1" t="s">
        <v>26</v>
      </c>
      <c r="H106" s="1" t="s">
        <v>5116</v>
      </c>
      <c r="I106" s="1" t="s">
        <v>18</v>
      </c>
      <c r="J106" s="1" t="s">
        <v>5071</v>
      </c>
      <c r="K106" s="1" t="s">
        <v>5072</v>
      </c>
      <c r="L106" s="6" t="s">
        <v>5716</v>
      </c>
      <c r="M106" s="1" t="s">
        <v>5717</v>
      </c>
      <c r="O106" s="5">
        <v>42917.0</v>
      </c>
      <c r="P106" s="5">
        <v>42917.0</v>
      </c>
      <c r="R106" s="1" t="b">
        <v>0</v>
      </c>
      <c r="S106" s="1">
        <v>0.0</v>
      </c>
      <c r="T106" s="1">
        <v>3749.0</v>
      </c>
      <c r="U106" s="1" t="b">
        <v>0</v>
      </c>
      <c r="V106" s="1" t="s">
        <v>5699</v>
      </c>
      <c r="W106" s="1" t="s">
        <v>5718</v>
      </c>
      <c r="Y106" s="1" t="s">
        <v>5075</v>
      </c>
      <c r="Z106" s="1" t="s">
        <v>5690</v>
      </c>
      <c r="AC106" s="1" t="s">
        <v>5077</v>
      </c>
      <c r="AD106" s="1" t="s">
        <v>5093</v>
      </c>
      <c r="AG106" s="5">
        <v>42891.0</v>
      </c>
      <c r="AH106" s="1">
        <v>447.0</v>
      </c>
    </row>
    <row r="107">
      <c r="A107" s="1">
        <v>173047.0</v>
      </c>
      <c r="B107" s="1">
        <v>0.0</v>
      </c>
      <c r="C107" s="1" t="s">
        <v>5719</v>
      </c>
      <c r="D107" s="1" t="s">
        <v>5081</v>
      </c>
      <c r="F107" s="1" t="s">
        <v>5720</v>
      </c>
      <c r="G107" s="1" t="s">
        <v>26</v>
      </c>
      <c r="H107" s="1" t="s">
        <v>5116</v>
      </c>
      <c r="I107" s="1" t="s">
        <v>18</v>
      </c>
      <c r="J107" s="1" t="s">
        <v>5071</v>
      </c>
      <c r="K107" s="1" t="s">
        <v>5072</v>
      </c>
      <c r="L107" s="6" t="s">
        <v>5721</v>
      </c>
      <c r="M107" s="1" t="s">
        <v>5722</v>
      </c>
      <c r="O107" s="5">
        <v>42917.0</v>
      </c>
      <c r="P107" s="5">
        <v>42917.0</v>
      </c>
      <c r="R107" s="1" t="b">
        <v>0</v>
      </c>
      <c r="S107" s="1">
        <v>0.0</v>
      </c>
      <c r="T107" s="1">
        <v>3749.0</v>
      </c>
      <c r="U107" s="1" t="b">
        <v>0</v>
      </c>
      <c r="V107" s="1" t="s">
        <v>5699</v>
      </c>
      <c r="W107" s="1" t="s">
        <v>5718</v>
      </c>
      <c r="Z107" s="1" t="s">
        <v>5690</v>
      </c>
      <c r="AA107" s="1" t="s">
        <v>5715</v>
      </c>
      <c r="AG107" s="5">
        <v>43298.0</v>
      </c>
    </row>
    <row r="108">
      <c r="A108" s="1">
        <v>3756.0</v>
      </c>
      <c r="B108" s="1">
        <v>0.0</v>
      </c>
      <c r="C108" s="1" t="s">
        <v>5723</v>
      </c>
      <c r="D108" s="1" t="s">
        <v>5068</v>
      </c>
      <c r="E108" s="5">
        <v>43698.0</v>
      </c>
      <c r="F108" s="1" t="s">
        <v>5076</v>
      </c>
      <c r="G108" s="1" t="s">
        <v>5115</v>
      </c>
      <c r="H108" s="1" t="s">
        <v>5102</v>
      </c>
      <c r="I108" s="1" t="s">
        <v>356</v>
      </c>
      <c r="J108" s="1" t="s">
        <v>5071</v>
      </c>
      <c r="K108" s="6" t="s">
        <v>5724</v>
      </c>
      <c r="L108" s="6" t="s">
        <v>5725</v>
      </c>
      <c r="M108" s="1" t="s">
        <v>5726</v>
      </c>
      <c r="O108" s="5">
        <v>31048.0</v>
      </c>
      <c r="Q108" s="5">
        <v>43705.0</v>
      </c>
      <c r="R108" s="1" t="b">
        <v>0</v>
      </c>
      <c r="S108" s="1">
        <v>0.0</v>
      </c>
      <c r="U108" s="1" t="b">
        <v>0</v>
      </c>
      <c r="V108" s="1" t="s">
        <v>5727</v>
      </c>
      <c r="W108" s="1" t="s">
        <v>5728</v>
      </c>
      <c r="X108" s="1">
        <v>200.0</v>
      </c>
      <c r="Y108" s="1" t="s">
        <v>5142</v>
      </c>
      <c r="AC108" s="1" t="s">
        <v>5077</v>
      </c>
      <c r="AD108" s="1" t="s">
        <v>5093</v>
      </c>
      <c r="AG108" s="5">
        <v>42891.0</v>
      </c>
      <c r="AH108" s="1">
        <v>1520.0</v>
      </c>
    </row>
    <row r="109">
      <c r="A109" s="1">
        <v>172721.0</v>
      </c>
      <c r="B109" s="1">
        <v>0.0</v>
      </c>
      <c r="C109" s="1" t="s">
        <v>5729</v>
      </c>
      <c r="D109" s="1" t="s">
        <v>5081</v>
      </c>
      <c r="E109" s="5">
        <v>43698.0</v>
      </c>
      <c r="F109" s="1" t="s">
        <v>5730</v>
      </c>
      <c r="G109" s="1" t="s">
        <v>5115</v>
      </c>
      <c r="H109" s="1" t="s">
        <v>5102</v>
      </c>
      <c r="I109" s="1" t="s">
        <v>356</v>
      </c>
      <c r="J109" s="1" t="s">
        <v>5071</v>
      </c>
      <c r="K109" s="6" t="s">
        <v>5731</v>
      </c>
      <c r="L109" s="6" t="s">
        <v>5732</v>
      </c>
      <c r="M109" s="1" t="s">
        <v>5733</v>
      </c>
      <c r="O109" s="5">
        <v>31048.0</v>
      </c>
      <c r="Q109" s="5">
        <v>43705.0</v>
      </c>
      <c r="R109" s="1" t="b">
        <v>0</v>
      </c>
      <c r="S109" s="1">
        <v>0.0</v>
      </c>
      <c r="U109" s="1" t="b">
        <v>0</v>
      </c>
      <c r="V109" s="1" t="s">
        <v>5727</v>
      </c>
      <c r="W109" s="1" t="s">
        <v>5728</v>
      </c>
      <c r="X109" s="1">
        <v>200.0</v>
      </c>
      <c r="AA109" s="1" t="s">
        <v>5076</v>
      </c>
      <c r="AG109" s="5">
        <v>43298.0</v>
      </c>
    </row>
    <row r="110">
      <c r="A110" s="1">
        <v>3757.0</v>
      </c>
      <c r="B110" s="1">
        <v>0.0</v>
      </c>
      <c r="C110" s="1" t="s">
        <v>5734</v>
      </c>
      <c r="D110" s="1" t="s">
        <v>5068</v>
      </c>
      <c r="E110" s="5">
        <v>43705.0</v>
      </c>
      <c r="F110" s="1" t="s">
        <v>5735</v>
      </c>
      <c r="G110" s="1" t="s">
        <v>26</v>
      </c>
      <c r="H110" s="1" t="s">
        <v>5070</v>
      </c>
      <c r="I110" s="1" t="s">
        <v>18</v>
      </c>
      <c r="J110" s="1" t="s">
        <v>5071</v>
      </c>
      <c r="K110" s="6" t="s">
        <v>5736</v>
      </c>
      <c r="L110" s="6" t="s">
        <v>5737</v>
      </c>
      <c r="M110" s="1" t="s">
        <v>5738</v>
      </c>
      <c r="R110" s="1" t="b">
        <v>0</v>
      </c>
      <c r="S110" s="1">
        <v>0.0</v>
      </c>
      <c r="T110" s="1">
        <v>3756.0</v>
      </c>
      <c r="U110" s="1" t="b">
        <v>0</v>
      </c>
      <c r="V110" s="1" t="s">
        <v>5699</v>
      </c>
      <c r="W110" s="1" t="s">
        <v>5739</v>
      </c>
      <c r="X110" s="1">
        <v>200.0</v>
      </c>
      <c r="Y110" s="1" t="s">
        <v>5075</v>
      </c>
      <c r="Z110" s="1" t="s">
        <v>5076</v>
      </c>
      <c r="AC110" s="1" t="s">
        <v>5077</v>
      </c>
      <c r="AD110" s="1" t="s">
        <v>5093</v>
      </c>
      <c r="AG110" s="5">
        <v>42891.0</v>
      </c>
      <c r="AH110" s="1">
        <v>116366.0</v>
      </c>
    </row>
    <row r="111">
      <c r="A111" s="1">
        <v>173048.0</v>
      </c>
      <c r="B111" s="1">
        <v>0.0</v>
      </c>
      <c r="C111" s="1" t="s">
        <v>5740</v>
      </c>
      <c r="D111" s="1" t="s">
        <v>5081</v>
      </c>
      <c r="E111" s="5">
        <v>43705.0</v>
      </c>
      <c r="F111" s="1" t="s">
        <v>5741</v>
      </c>
      <c r="G111" s="1" t="s">
        <v>26</v>
      </c>
      <c r="H111" s="1" t="s">
        <v>5070</v>
      </c>
      <c r="I111" s="1" t="s">
        <v>18</v>
      </c>
      <c r="J111" s="1" t="s">
        <v>5071</v>
      </c>
      <c r="K111" s="1" t="s">
        <v>5072</v>
      </c>
      <c r="L111" s="6" t="s">
        <v>5742</v>
      </c>
      <c r="M111" s="1" t="s">
        <v>5743</v>
      </c>
      <c r="R111" s="1" t="b">
        <v>0</v>
      </c>
      <c r="S111" s="1">
        <v>0.0</v>
      </c>
      <c r="T111" s="1">
        <v>3756.0</v>
      </c>
      <c r="U111" s="1" t="b">
        <v>0</v>
      </c>
      <c r="V111" s="1" t="s">
        <v>5699</v>
      </c>
      <c r="W111" s="1" t="s">
        <v>5739</v>
      </c>
      <c r="Z111" s="1" t="s">
        <v>5076</v>
      </c>
      <c r="AA111" s="1" t="s">
        <v>5735</v>
      </c>
      <c r="AG111" s="5">
        <v>43298.0</v>
      </c>
    </row>
    <row r="112">
      <c r="A112" s="1">
        <v>3758.0</v>
      </c>
      <c r="B112" s="1">
        <v>1.0</v>
      </c>
      <c r="C112" s="1" t="s">
        <v>5744</v>
      </c>
      <c r="D112" s="1" t="s">
        <v>5068</v>
      </c>
      <c r="E112" s="5">
        <v>43922.0</v>
      </c>
      <c r="F112" s="1" t="s">
        <v>5745</v>
      </c>
      <c r="G112" s="1" t="s">
        <v>26</v>
      </c>
      <c r="H112" s="1" t="s">
        <v>5102</v>
      </c>
      <c r="I112" s="1" t="s">
        <v>18</v>
      </c>
      <c r="J112" s="1" t="s">
        <v>5071</v>
      </c>
      <c r="K112" s="6" t="s">
        <v>5746</v>
      </c>
      <c r="L112" s="6" t="s">
        <v>5747</v>
      </c>
      <c r="M112" s="1" t="s">
        <v>5748</v>
      </c>
      <c r="O112" s="5">
        <v>36161.0</v>
      </c>
      <c r="R112" s="1" t="b">
        <v>0</v>
      </c>
      <c r="S112" s="1">
        <v>0.0</v>
      </c>
      <c r="T112" s="1">
        <v>3756.0</v>
      </c>
      <c r="U112" s="1" t="b">
        <v>0</v>
      </c>
      <c r="V112" s="1" t="s">
        <v>5749</v>
      </c>
      <c r="W112" s="1" t="s">
        <v>5750</v>
      </c>
      <c r="X112" s="1">
        <v>200.0</v>
      </c>
      <c r="Y112" s="1" t="s">
        <v>5142</v>
      </c>
      <c r="Z112" s="1" t="s">
        <v>5076</v>
      </c>
      <c r="AC112" s="1" t="s">
        <v>5077</v>
      </c>
      <c r="AD112" s="1" t="s">
        <v>5093</v>
      </c>
      <c r="AG112" s="5">
        <v>42891.0</v>
      </c>
      <c r="AH112" s="1">
        <v>368277.0</v>
      </c>
    </row>
    <row r="113">
      <c r="A113" s="1">
        <v>172759.0</v>
      </c>
      <c r="B113" s="1">
        <v>1.0</v>
      </c>
      <c r="C113" s="1" t="s">
        <v>5751</v>
      </c>
      <c r="D113" s="1" t="s">
        <v>5081</v>
      </c>
      <c r="E113" s="5">
        <v>43922.0</v>
      </c>
      <c r="F113" s="1" t="s">
        <v>5752</v>
      </c>
      <c r="G113" s="1" t="s">
        <v>26</v>
      </c>
      <c r="H113" s="1" t="s">
        <v>5102</v>
      </c>
      <c r="I113" s="1" t="s">
        <v>18</v>
      </c>
      <c r="J113" s="1" t="s">
        <v>5071</v>
      </c>
      <c r="K113" s="6" t="s">
        <v>5753</v>
      </c>
      <c r="L113" s="6" t="s">
        <v>5754</v>
      </c>
      <c r="M113" s="1" t="s">
        <v>5755</v>
      </c>
      <c r="O113" s="5">
        <v>36161.0</v>
      </c>
      <c r="R113" s="1" t="b">
        <v>0</v>
      </c>
      <c r="S113" s="1">
        <v>0.0</v>
      </c>
      <c r="T113" s="1">
        <v>3756.0</v>
      </c>
      <c r="U113" s="1" t="b">
        <v>0</v>
      </c>
      <c r="V113" s="1" t="s">
        <v>5749</v>
      </c>
      <c r="W113" s="1" t="s">
        <v>5750</v>
      </c>
      <c r="X113" s="1">
        <v>200.0</v>
      </c>
      <c r="Z113" s="1" t="s">
        <v>5076</v>
      </c>
      <c r="AA113" s="1" t="s">
        <v>5745</v>
      </c>
      <c r="AG113" s="5">
        <v>43298.0</v>
      </c>
    </row>
    <row r="114">
      <c r="A114" s="1">
        <v>3760.0</v>
      </c>
      <c r="B114" s="1">
        <v>1.0</v>
      </c>
      <c r="C114" s="1" t="s">
        <v>5756</v>
      </c>
      <c r="D114" s="1" t="s">
        <v>5068</v>
      </c>
      <c r="E114" s="5">
        <v>43922.0</v>
      </c>
      <c r="F114" s="1" t="s">
        <v>5757</v>
      </c>
      <c r="G114" s="1" t="s">
        <v>26</v>
      </c>
      <c r="H114" s="1" t="s">
        <v>5102</v>
      </c>
      <c r="I114" s="1" t="s">
        <v>18</v>
      </c>
      <c r="J114" s="1" t="s">
        <v>5071</v>
      </c>
      <c r="K114" s="6" t="s">
        <v>5758</v>
      </c>
      <c r="L114" s="6" t="s">
        <v>5759</v>
      </c>
      <c r="M114" s="1" t="s">
        <v>5760</v>
      </c>
      <c r="O114" s="5">
        <v>42370.0</v>
      </c>
      <c r="R114" s="1" t="b">
        <v>0</v>
      </c>
      <c r="S114" s="1">
        <v>0.0</v>
      </c>
      <c r="T114" s="1">
        <v>3756.0</v>
      </c>
      <c r="U114" s="1" t="b">
        <v>0</v>
      </c>
      <c r="V114" s="1" t="s">
        <v>5663</v>
      </c>
      <c r="W114" s="1" t="s">
        <v>5761</v>
      </c>
      <c r="X114" s="1">
        <v>200.0</v>
      </c>
      <c r="Y114" s="1" t="s">
        <v>5142</v>
      </c>
      <c r="Z114" s="1" t="s">
        <v>5076</v>
      </c>
      <c r="AC114" s="1" t="s">
        <v>5077</v>
      </c>
      <c r="AD114" s="1" t="s">
        <v>5093</v>
      </c>
      <c r="AG114" s="5">
        <v>42891.0</v>
      </c>
      <c r="AH114" s="1">
        <v>187002.0</v>
      </c>
    </row>
    <row r="115">
      <c r="A115" s="1">
        <v>172963.0</v>
      </c>
      <c r="B115" s="1">
        <v>1.0</v>
      </c>
      <c r="C115" s="1" t="s">
        <v>5762</v>
      </c>
      <c r="D115" s="1" t="s">
        <v>5081</v>
      </c>
      <c r="E115" s="5">
        <v>43922.0</v>
      </c>
      <c r="F115" s="1" t="s">
        <v>5763</v>
      </c>
      <c r="G115" s="1" t="s">
        <v>26</v>
      </c>
      <c r="H115" s="1" t="s">
        <v>5102</v>
      </c>
      <c r="I115" s="1" t="s">
        <v>18</v>
      </c>
      <c r="J115" s="1" t="s">
        <v>5071</v>
      </c>
      <c r="K115" s="6" t="s">
        <v>5764</v>
      </c>
      <c r="L115" s="6" t="s">
        <v>5765</v>
      </c>
      <c r="M115" s="1" t="s">
        <v>5766</v>
      </c>
      <c r="O115" s="5">
        <v>42370.0</v>
      </c>
      <c r="R115" s="1" t="b">
        <v>0</v>
      </c>
      <c r="S115" s="1">
        <v>0.0</v>
      </c>
      <c r="T115" s="1">
        <v>3756.0</v>
      </c>
      <c r="U115" s="1" t="b">
        <v>0</v>
      </c>
      <c r="V115" s="1" t="s">
        <v>5663</v>
      </c>
      <c r="W115" s="1" t="s">
        <v>5761</v>
      </c>
      <c r="X115" s="1">
        <v>200.0</v>
      </c>
      <c r="Z115" s="1" t="s">
        <v>5076</v>
      </c>
      <c r="AA115" s="1" t="s">
        <v>5757</v>
      </c>
      <c r="AG115" s="5">
        <v>43298.0</v>
      </c>
    </row>
    <row r="116">
      <c r="A116" s="1">
        <v>3761.0</v>
      </c>
      <c r="B116" s="1">
        <v>0.0</v>
      </c>
      <c r="C116" s="1" t="s">
        <v>5767</v>
      </c>
      <c r="D116" s="1" t="s">
        <v>5068</v>
      </c>
      <c r="F116" s="1" t="s">
        <v>5768</v>
      </c>
      <c r="G116" s="1" t="s">
        <v>26</v>
      </c>
      <c r="H116" s="1" t="s">
        <v>5769</v>
      </c>
      <c r="I116" s="1" t="s">
        <v>18</v>
      </c>
      <c r="J116" s="1" t="s">
        <v>5071</v>
      </c>
      <c r="K116" s="1" t="s">
        <v>5072</v>
      </c>
      <c r="L116" s="6" t="s">
        <v>5770</v>
      </c>
      <c r="M116" s="1" t="s">
        <v>5771</v>
      </c>
      <c r="O116" s="5">
        <v>42089.0</v>
      </c>
      <c r="R116" s="1" t="b">
        <v>0</v>
      </c>
      <c r="S116" s="1">
        <v>0.0</v>
      </c>
      <c r="U116" s="1" t="b">
        <v>0</v>
      </c>
      <c r="V116" s="1" t="s">
        <v>5772</v>
      </c>
      <c r="W116" s="1" t="s">
        <v>5773</v>
      </c>
      <c r="Y116" s="1" t="s">
        <v>5075</v>
      </c>
      <c r="AC116" s="1" t="s">
        <v>5077</v>
      </c>
      <c r="AD116" s="1" t="s">
        <v>5093</v>
      </c>
      <c r="AG116" s="5">
        <v>42891.0</v>
      </c>
      <c r="AH116" s="1">
        <v>116777.0</v>
      </c>
    </row>
    <row r="117">
      <c r="A117" s="1">
        <v>173088.0</v>
      </c>
      <c r="B117" s="1">
        <v>0.0</v>
      </c>
      <c r="C117" s="1" t="s">
        <v>5774</v>
      </c>
      <c r="D117" s="1" t="s">
        <v>5081</v>
      </c>
      <c r="F117" s="1" t="s">
        <v>5775</v>
      </c>
      <c r="G117" s="1" t="s">
        <v>26</v>
      </c>
      <c r="H117" s="1" t="s">
        <v>5769</v>
      </c>
      <c r="I117" s="1" t="s">
        <v>18</v>
      </c>
      <c r="J117" s="1" t="s">
        <v>5071</v>
      </c>
      <c r="K117" s="1" t="s">
        <v>5072</v>
      </c>
      <c r="L117" s="6" t="s">
        <v>5776</v>
      </c>
      <c r="M117" s="1" t="s">
        <v>5777</v>
      </c>
      <c r="O117" s="5">
        <v>42089.0</v>
      </c>
      <c r="R117" s="1" t="b">
        <v>0</v>
      </c>
      <c r="S117" s="1">
        <v>0.0</v>
      </c>
      <c r="U117" s="1" t="b">
        <v>0</v>
      </c>
      <c r="V117" s="1" t="s">
        <v>5772</v>
      </c>
      <c r="W117" s="1" t="s">
        <v>5773</v>
      </c>
      <c r="AA117" s="1" t="s">
        <v>5768</v>
      </c>
      <c r="AG117" s="5">
        <v>43298.0</v>
      </c>
    </row>
    <row r="118">
      <c r="A118" s="1">
        <v>3762.0</v>
      </c>
      <c r="B118" s="1">
        <v>0.0</v>
      </c>
      <c r="C118" s="1" t="s">
        <v>74</v>
      </c>
      <c r="D118" s="1" t="s">
        <v>5068</v>
      </c>
      <c r="E118" s="5">
        <v>44852.0</v>
      </c>
      <c r="F118" s="1" t="s">
        <v>75</v>
      </c>
      <c r="G118" s="1" t="s">
        <v>26</v>
      </c>
      <c r="H118" s="1" t="s">
        <v>5070</v>
      </c>
      <c r="I118" s="1" t="s">
        <v>18</v>
      </c>
      <c r="J118" s="1" t="s">
        <v>5071</v>
      </c>
      <c r="K118" s="6" t="s">
        <v>5778</v>
      </c>
      <c r="L118" s="6" t="s">
        <v>5779</v>
      </c>
      <c r="M118" s="1" t="s">
        <v>5780</v>
      </c>
      <c r="R118" s="1" t="b">
        <v>0</v>
      </c>
      <c r="S118" s="1">
        <v>0.0</v>
      </c>
      <c r="T118" s="1">
        <v>3756.0</v>
      </c>
      <c r="U118" s="1" t="b">
        <v>0</v>
      </c>
      <c r="V118" s="1" t="s">
        <v>5688</v>
      </c>
      <c r="W118" s="1" t="s">
        <v>5781</v>
      </c>
      <c r="X118" s="1">
        <v>408.0</v>
      </c>
      <c r="Y118" s="1" t="s">
        <v>5075</v>
      </c>
      <c r="Z118" s="1" t="s">
        <v>5076</v>
      </c>
      <c r="AC118" s="1" t="s">
        <v>5077</v>
      </c>
      <c r="AD118" s="1" t="s">
        <v>5093</v>
      </c>
      <c r="AE118" s="6" t="s">
        <v>5782</v>
      </c>
      <c r="AG118" s="5">
        <v>42891.0</v>
      </c>
      <c r="AH118" s="1">
        <v>323889.0</v>
      </c>
    </row>
    <row r="119">
      <c r="A119" s="1">
        <v>173002.0</v>
      </c>
      <c r="B119" s="1">
        <v>0.0</v>
      </c>
      <c r="C119" s="1" t="s">
        <v>5783</v>
      </c>
      <c r="D119" s="1" t="s">
        <v>5081</v>
      </c>
      <c r="E119" s="5">
        <v>44852.0</v>
      </c>
      <c r="F119" s="1" t="s">
        <v>5784</v>
      </c>
      <c r="G119" s="1" t="s">
        <v>26</v>
      </c>
      <c r="H119" s="1" t="s">
        <v>5070</v>
      </c>
      <c r="I119" s="1" t="s">
        <v>18</v>
      </c>
      <c r="J119" s="1" t="s">
        <v>5071</v>
      </c>
      <c r="K119" s="1" t="s">
        <v>5072</v>
      </c>
      <c r="L119" s="6" t="s">
        <v>5785</v>
      </c>
      <c r="M119" s="1" t="s">
        <v>5786</v>
      </c>
      <c r="R119" s="1" t="b">
        <v>0</v>
      </c>
      <c r="S119" s="1">
        <v>0.0</v>
      </c>
      <c r="T119" s="1">
        <v>3756.0</v>
      </c>
      <c r="U119" s="1" t="b">
        <v>0</v>
      </c>
      <c r="V119" s="1" t="s">
        <v>5688</v>
      </c>
      <c r="W119" s="1" t="s">
        <v>5781</v>
      </c>
      <c r="X119" s="1">
        <v>408.0</v>
      </c>
      <c r="Z119" s="1" t="s">
        <v>5076</v>
      </c>
      <c r="AA119" s="1" t="s">
        <v>75</v>
      </c>
      <c r="AE119" s="6" t="s">
        <v>5787</v>
      </c>
      <c r="AG119" s="5">
        <v>43298.0</v>
      </c>
    </row>
    <row r="120">
      <c r="A120" s="1">
        <v>3763.0</v>
      </c>
      <c r="B120" s="1">
        <v>0.0</v>
      </c>
      <c r="C120" s="1" t="s">
        <v>5788</v>
      </c>
      <c r="D120" s="1" t="s">
        <v>5068</v>
      </c>
      <c r="F120" s="1" t="s">
        <v>5789</v>
      </c>
      <c r="G120" s="1" t="s">
        <v>26</v>
      </c>
      <c r="H120" s="1" t="s">
        <v>5070</v>
      </c>
      <c r="I120" s="1" t="s">
        <v>18</v>
      </c>
      <c r="J120" s="1" t="s">
        <v>5071</v>
      </c>
      <c r="K120" s="6" t="s">
        <v>5790</v>
      </c>
      <c r="L120" s="6" t="s">
        <v>5791</v>
      </c>
      <c r="M120" s="1" t="s">
        <v>5792</v>
      </c>
      <c r="R120" s="1" t="b">
        <v>0</v>
      </c>
      <c r="S120" s="1">
        <v>0.0</v>
      </c>
      <c r="T120" s="1">
        <v>3756.0</v>
      </c>
      <c r="U120" s="1" t="b">
        <v>0</v>
      </c>
      <c r="V120" s="1" t="s">
        <v>5699</v>
      </c>
      <c r="W120" s="1" t="s">
        <v>5793</v>
      </c>
      <c r="X120" s="1">
        <v>599.0</v>
      </c>
      <c r="Y120" s="1" t="s">
        <v>5075</v>
      </c>
      <c r="Z120" s="1" t="s">
        <v>5076</v>
      </c>
      <c r="AC120" s="1" t="s">
        <v>5077</v>
      </c>
      <c r="AD120" s="1" t="s">
        <v>5093</v>
      </c>
      <c r="AE120" s="6" t="s">
        <v>5794</v>
      </c>
      <c r="AG120" s="5">
        <v>42891.0</v>
      </c>
      <c r="AH120" s="1">
        <v>854.0</v>
      </c>
    </row>
    <row r="121">
      <c r="A121" s="1">
        <v>173022.0</v>
      </c>
      <c r="B121" s="1">
        <v>0.0</v>
      </c>
      <c r="C121" s="1" t="s">
        <v>5795</v>
      </c>
      <c r="D121" s="1" t="s">
        <v>5081</v>
      </c>
      <c r="F121" s="1" t="s">
        <v>5796</v>
      </c>
      <c r="G121" s="1" t="s">
        <v>26</v>
      </c>
      <c r="H121" s="1" t="s">
        <v>5070</v>
      </c>
      <c r="I121" s="1" t="s">
        <v>18</v>
      </c>
      <c r="J121" s="1" t="s">
        <v>5071</v>
      </c>
      <c r="K121" s="6" t="s">
        <v>5797</v>
      </c>
      <c r="L121" s="6" t="s">
        <v>5798</v>
      </c>
      <c r="M121" s="1" t="s">
        <v>5799</v>
      </c>
      <c r="R121" s="1" t="b">
        <v>0</v>
      </c>
      <c r="S121" s="1">
        <v>0.0</v>
      </c>
      <c r="T121" s="1">
        <v>3756.0</v>
      </c>
      <c r="U121" s="1" t="b">
        <v>0</v>
      </c>
      <c r="V121" s="1" t="s">
        <v>5699</v>
      </c>
      <c r="W121" s="1" t="s">
        <v>5793</v>
      </c>
      <c r="X121" s="1">
        <v>599.0</v>
      </c>
      <c r="Z121" s="1" t="s">
        <v>5076</v>
      </c>
      <c r="AA121" s="1" t="s">
        <v>5789</v>
      </c>
      <c r="AE121" s="6" t="s">
        <v>5800</v>
      </c>
      <c r="AG121" s="5">
        <v>43298.0</v>
      </c>
    </row>
    <row r="122">
      <c r="A122" s="1">
        <v>3764.0</v>
      </c>
      <c r="B122" s="1">
        <v>0.0</v>
      </c>
      <c r="C122" s="1" t="s">
        <v>5801</v>
      </c>
      <c r="D122" s="1" t="s">
        <v>5068</v>
      </c>
      <c r="E122" s="5">
        <v>44105.0</v>
      </c>
      <c r="F122" s="1" t="s">
        <v>5802</v>
      </c>
      <c r="G122" s="1" t="s">
        <v>26</v>
      </c>
      <c r="H122" s="1" t="s">
        <v>5070</v>
      </c>
      <c r="I122" s="1" t="s">
        <v>18</v>
      </c>
      <c r="J122" s="1" t="s">
        <v>5071</v>
      </c>
      <c r="K122" s="6" t="s">
        <v>5803</v>
      </c>
      <c r="L122" s="6" t="s">
        <v>5804</v>
      </c>
      <c r="M122" s="1" t="s">
        <v>5805</v>
      </c>
      <c r="R122" s="1" t="b">
        <v>0</v>
      </c>
      <c r="S122" s="1">
        <v>0.0</v>
      </c>
      <c r="T122" s="1">
        <v>3756.0</v>
      </c>
      <c r="U122" s="1" t="b">
        <v>0</v>
      </c>
      <c r="V122" s="1" t="s">
        <v>5688</v>
      </c>
      <c r="W122" s="1" t="s">
        <v>5806</v>
      </c>
      <c r="X122" s="1">
        <v>599.0</v>
      </c>
      <c r="Y122" s="1" t="s">
        <v>5075</v>
      </c>
      <c r="Z122" s="1" t="s">
        <v>5076</v>
      </c>
      <c r="AC122" s="1" t="s">
        <v>5077</v>
      </c>
      <c r="AD122" s="1" t="s">
        <v>5093</v>
      </c>
      <c r="AE122" s="6" t="s">
        <v>5807</v>
      </c>
      <c r="AG122" s="5">
        <v>42891.0</v>
      </c>
      <c r="AH122" s="1">
        <v>285598.0</v>
      </c>
    </row>
    <row r="123">
      <c r="A123" s="1">
        <v>173000.0</v>
      </c>
      <c r="B123" s="1">
        <v>0.0</v>
      </c>
      <c r="C123" s="1" t="s">
        <v>5808</v>
      </c>
      <c r="D123" s="1" t="s">
        <v>5081</v>
      </c>
      <c r="E123" s="5">
        <v>44105.0</v>
      </c>
      <c r="F123" s="1" t="s">
        <v>5809</v>
      </c>
      <c r="G123" s="1" t="s">
        <v>26</v>
      </c>
      <c r="H123" s="1" t="s">
        <v>5070</v>
      </c>
      <c r="I123" s="1" t="s">
        <v>18</v>
      </c>
      <c r="J123" s="1" t="s">
        <v>5071</v>
      </c>
      <c r="K123" s="6" t="s">
        <v>5810</v>
      </c>
      <c r="L123" s="6" t="s">
        <v>5811</v>
      </c>
      <c r="M123" s="1" t="s">
        <v>5799</v>
      </c>
      <c r="R123" s="1" t="b">
        <v>0</v>
      </c>
      <c r="S123" s="1">
        <v>0.0</v>
      </c>
      <c r="T123" s="1">
        <v>3756.0</v>
      </c>
      <c r="U123" s="1" t="b">
        <v>0</v>
      </c>
      <c r="V123" s="1" t="s">
        <v>5688</v>
      </c>
      <c r="W123" s="1" t="s">
        <v>5806</v>
      </c>
      <c r="X123" s="1">
        <v>599.0</v>
      </c>
      <c r="Z123" s="1" t="s">
        <v>5076</v>
      </c>
      <c r="AA123" s="1" t="s">
        <v>5802</v>
      </c>
      <c r="AE123" s="6" t="s">
        <v>5812</v>
      </c>
      <c r="AG123" s="5">
        <v>43298.0</v>
      </c>
    </row>
    <row r="124">
      <c r="A124" s="1">
        <v>3765.0</v>
      </c>
      <c r="B124" s="1">
        <v>0.0</v>
      </c>
      <c r="C124" s="1" t="s">
        <v>5813</v>
      </c>
      <c r="D124" s="1" t="s">
        <v>5068</v>
      </c>
      <c r="F124" s="1" t="s">
        <v>5814</v>
      </c>
      <c r="G124" s="1" t="s">
        <v>26</v>
      </c>
      <c r="H124" s="1" t="s">
        <v>5070</v>
      </c>
      <c r="I124" s="1" t="s">
        <v>18</v>
      </c>
      <c r="J124" s="1" t="s">
        <v>5071</v>
      </c>
      <c r="K124" s="6" t="s">
        <v>5815</v>
      </c>
      <c r="L124" s="6" t="s">
        <v>5816</v>
      </c>
      <c r="M124" s="1" t="s">
        <v>5817</v>
      </c>
      <c r="R124" s="1" t="b">
        <v>0</v>
      </c>
      <c r="S124" s="1">
        <v>0.0</v>
      </c>
      <c r="T124" s="1">
        <v>3756.0</v>
      </c>
      <c r="U124" s="1" t="b">
        <v>0</v>
      </c>
      <c r="V124" s="1" t="s">
        <v>5688</v>
      </c>
      <c r="W124" s="1" t="s">
        <v>5818</v>
      </c>
      <c r="X124" s="1">
        <v>599.0</v>
      </c>
      <c r="Y124" s="1" t="s">
        <v>5075</v>
      </c>
      <c r="Z124" s="1" t="s">
        <v>5076</v>
      </c>
      <c r="AC124" s="1" t="s">
        <v>5077</v>
      </c>
      <c r="AD124" s="1" t="s">
        <v>5093</v>
      </c>
      <c r="AE124" s="6" t="s">
        <v>5819</v>
      </c>
      <c r="AG124" s="5">
        <v>42891.0</v>
      </c>
      <c r="AH124" s="1">
        <v>78919.0</v>
      </c>
    </row>
    <row r="125">
      <c r="A125" s="1">
        <v>172996.0</v>
      </c>
      <c r="B125" s="1">
        <v>0.0</v>
      </c>
      <c r="C125" s="1" t="s">
        <v>5820</v>
      </c>
      <c r="D125" s="1" t="s">
        <v>5081</v>
      </c>
      <c r="F125" s="1" t="s">
        <v>5821</v>
      </c>
      <c r="G125" s="1" t="s">
        <v>26</v>
      </c>
      <c r="H125" s="1" t="s">
        <v>5070</v>
      </c>
      <c r="I125" s="1" t="s">
        <v>18</v>
      </c>
      <c r="J125" s="1" t="s">
        <v>5071</v>
      </c>
      <c r="K125" s="6" t="s">
        <v>5822</v>
      </c>
      <c r="L125" s="6" t="s">
        <v>5823</v>
      </c>
      <c r="M125" s="1" t="s">
        <v>5799</v>
      </c>
      <c r="R125" s="1" t="b">
        <v>0</v>
      </c>
      <c r="S125" s="1">
        <v>0.0</v>
      </c>
      <c r="T125" s="1">
        <v>3756.0</v>
      </c>
      <c r="U125" s="1" t="b">
        <v>0</v>
      </c>
      <c r="V125" s="1" t="s">
        <v>5688</v>
      </c>
      <c r="W125" s="1" t="s">
        <v>5818</v>
      </c>
      <c r="X125" s="1">
        <v>599.0</v>
      </c>
      <c r="Z125" s="1" t="s">
        <v>5076</v>
      </c>
      <c r="AA125" s="1" t="s">
        <v>5814</v>
      </c>
      <c r="AE125" s="6" t="s">
        <v>5824</v>
      </c>
      <c r="AG125" s="5">
        <v>43298.0</v>
      </c>
    </row>
    <row r="126">
      <c r="A126" s="1">
        <v>3768.0</v>
      </c>
      <c r="B126" s="1">
        <v>0.0</v>
      </c>
      <c r="C126" s="1" t="s">
        <v>5825</v>
      </c>
      <c r="D126" s="1" t="s">
        <v>5068</v>
      </c>
      <c r="F126" s="1" t="s">
        <v>5826</v>
      </c>
      <c r="G126" s="1" t="s">
        <v>26</v>
      </c>
      <c r="H126" s="1" t="s">
        <v>5102</v>
      </c>
      <c r="I126" s="1" t="s">
        <v>18</v>
      </c>
      <c r="J126" s="1" t="s">
        <v>70</v>
      </c>
      <c r="K126" s="6" t="s">
        <v>5827</v>
      </c>
      <c r="L126" s="6" t="s">
        <v>5828</v>
      </c>
      <c r="M126" s="1" t="s">
        <v>5829</v>
      </c>
      <c r="O126" s="5">
        <v>36892.0</v>
      </c>
      <c r="R126" s="1" t="b">
        <v>0</v>
      </c>
      <c r="S126" s="1">
        <v>0.0</v>
      </c>
      <c r="T126" s="1">
        <v>107.0</v>
      </c>
      <c r="U126" s="1" t="b">
        <v>0</v>
      </c>
      <c r="V126" s="1" t="s">
        <v>5830</v>
      </c>
      <c r="W126" s="1" t="s">
        <v>5831</v>
      </c>
      <c r="X126" s="1">
        <v>200.0</v>
      </c>
      <c r="Y126" s="1" t="s">
        <v>5142</v>
      </c>
      <c r="Z126" s="1" t="s">
        <v>5323</v>
      </c>
      <c r="AC126" s="1" t="s">
        <v>5077</v>
      </c>
      <c r="AD126" s="1" t="s">
        <v>5093</v>
      </c>
      <c r="AG126" s="5">
        <v>42891.0</v>
      </c>
      <c r="AH126" s="1">
        <v>1167.0</v>
      </c>
    </row>
    <row r="127">
      <c r="A127" s="1">
        <v>3800.0</v>
      </c>
      <c r="B127" s="1">
        <v>0.0</v>
      </c>
      <c r="C127" s="1" t="s">
        <v>317</v>
      </c>
      <c r="D127" s="1" t="s">
        <v>5068</v>
      </c>
      <c r="E127" s="5">
        <v>44789.0</v>
      </c>
      <c r="F127" s="1" t="s">
        <v>318</v>
      </c>
      <c r="G127" s="1" t="s">
        <v>5115</v>
      </c>
      <c r="H127" s="1" t="s">
        <v>5070</v>
      </c>
      <c r="I127" s="1" t="s">
        <v>18</v>
      </c>
      <c r="J127" s="1" t="s">
        <v>21</v>
      </c>
      <c r="K127" s="6" t="s">
        <v>5832</v>
      </c>
      <c r="L127" s="6" t="s">
        <v>5833</v>
      </c>
      <c r="M127" s="1" t="s">
        <v>5834</v>
      </c>
      <c r="R127" s="1" t="b">
        <v>0</v>
      </c>
      <c r="S127" s="1">
        <v>0.0</v>
      </c>
      <c r="U127" s="1" t="b">
        <v>0</v>
      </c>
      <c r="V127" s="1" t="s">
        <v>5835</v>
      </c>
      <c r="W127" s="1" t="s">
        <v>5836</v>
      </c>
      <c r="X127" s="1">
        <v>200.0</v>
      </c>
      <c r="Y127" s="1" t="s">
        <v>5142</v>
      </c>
      <c r="AC127" s="1" t="s">
        <v>5077</v>
      </c>
      <c r="AD127" s="1" t="s">
        <v>5093</v>
      </c>
      <c r="AG127" s="5">
        <v>42905.0</v>
      </c>
      <c r="AH127" s="1">
        <v>359086.0</v>
      </c>
    </row>
    <row r="128">
      <c r="A128" s="1">
        <v>3803.0</v>
      </c>
      <c r="B128" s="1">
        <v>1.0</v>
      </c>
      <c r="C128" s="1" t="s">
        <v>5837</v>
      </c>
      <c r="D128" s="1" t="s">
        <v>5068</v>
      </c>
      <c r="E128" s="5">
        <v>44076.0</v>
      </c>
      <c r="F128" s="1" t="s">
        <v>5838</v>
      </c>
      <c r="G128" s="1" t="s">
        <v>5839</v>
      </c>
      <c r="H128" s="1" t="s">
        <v>5102</v>
      </c>
      <c r="I128" s="1" t="s">
        <v>18</v>
      </c>
      <c r="J128" s="1" t="s">
        <v>5071</v>
      </c>
      <c r="K128" s="6" t="s">
        <v>5840</v>
      </c>
      <c r="L128" s="6" t="s">
        <v>5841</v>
      </c>
      <c r="M128" s="1" t="s">
        <v>5842</v>
      </c>
      <c r="O128" s="5">
        <v>32509.0</v>
      </c>
      <c r="R128" s="1" t="b">
        <v>0</v>
      </c>
      <c r="S128" s="1">
        <v>0.0</v>
      </c>
      <c r="U128" s="1" t="b">
        <v>0</v>
      </c>
      <c r="V128" s="1" t="s">
        <v>5843</v>
      </c>
      <c r="W128" s="1" t="s">
        <v>5844</v>
      </c>
      <c r="X128" s="1">
        <v>200.0</v>
      </c>
      <c r="Y128" s="1" t="s">
        <v>5075</v>
      </c>
      <c r="AC128" s="1" t="s">
        <v>5077</v>
      </c>
      <c r="AD128" s="1" t="s">
        <v>5093</v>
      </c>
      <c r="AG128" s="5">
        <v>42919.0</v>
      </c>
      <c r="AH128" s="1">
        <v>362640.0</v>
      </c>
    </row>
    <row r="129">
      <c r="A129" s="1">
        <v>172987.0</v>
      </c>
      <c r="B129" s="1">
        <v>1.0</v>
      </c>
      <c r="C129" s="1" t="s">
        <v>5845</v>
      </c>
      <c r="D129" s="1" t="s">
        <v>5081</v>
      </c>
      <c r="E129" s="5">
        <v>44076.0</v>
      </c>
      <c r="F129" s="1" t="s">
        <v>5846</v>
      </c>
      <c r="G129" s="1" t="s">
        <v>5839</v>
      </c>
      <c r="H129" s="1" t="s">
        <v>5102</v>
      </c>
      <c r="I129" s="1" t="s">
        <v>18</v>
      </c>
      <c r="J129" s="1" t="s">
        <v>5071</v>
      </c>
      <c r="K129" s="6" t="s">
        <v>5847</v>
      </c>
      <c r="L129" s="6" t="s">
        <v>5848</v>
      </c>
      <c r="M129" s="1" t="s">
        <v>5849</v>
      </c>
      <c r="O129" s="5">
        <v>32509.0</v>
      </c>
      <c r="R129" s="1" t="b">
        <v>0</v>
      </c>
      <c r="S129" s="1">
        <v>0.0</v>
      </c>
      <c r="U129" s="1" t="b">
        <v>0</v>
      </c>
      <c r="V129" s="1" t="s">
        <v>5843</v>
      </c>
      <c r="W129" s="1" t="s">
        <v>5844</v>
      </c>
      <c r="X129" s="1">
        <v>200.0</v>
      </c>
      <c r="AA129" s="1" t="s">
        <v>5838</v>
      </c>
      <c r="AG129" s="5">
        <v>43298.0</v>
      </c>
    </row>
    <row r="130">
      <c r="A130" s="1">
        <v>3810.0</v>
      </c>
      <c r="B130" s="1">
        <v>0.0</v>
      </c>
      <c r="C130" s="1" t="s">
        <v>5850</v>
      </c>
      <c r="D130" s="1" t="s">
        <v>5068</v>
      </c>
      <c r="F130" s="1" t="s">
        <v>5851</v>
      </c>
      <c r="G130" s="1" t="s">
        <v>26</v>
      </c>
      <c r="H130" s="1" t="s">
        <v>5102</v>
      </c>
      <c r="I130" s="1" t="s">
        <v>356</v>
      </c>
      <c r="J130" s="1" t="s">
        <v>21</v>
      </c>
      <c r="K130" s="6" t="s">
        <v>5852</v>
      </c>
      <c r="L130" s="6" t="s">
        <v>5853</v>
      </c>
      <c r="M130" s="1" t="s">
        <v>5854</v>
      </c>
      <c r="O130" s="5">
        <v>40909.0</v>
      </c>
      <c r="R130" s="1" t="b">
        <v>0</v>
      </c>
      <c r="S130" s="1">
        <v>0.0</v>
      </c>
      <c r="T130" s="1">
        <v>4505.0</v>
      </c>
      <c r="U130" s="1" t="b">
        <v>0</v>
      </c>
      <c r="V130" s="1" t="s">
        <v>5855</v>
      </c>
      <c r="W130" s="1" t="s">
        <v>5856</v>
      </c>
      <c r="X130" s="1">
        <v>200.0</v>
      </c>
      <c r="Y130" s="1" t="s">
        <v>5075</v>
      </c>
      <c r="Z130" s="1" t="s">
        <v>5857</v>
      </c>
      <c r="AG130" s="5">
        <v>42941.0</v>
      </c>
    </row>
    <row r="131">
      <c r="A131" s="1">
        <v>3821.0</v>
      </c>
      <c r="B131" s="1">
        <v>0.0</v>
      </c>
      <c r="C131" s="1" t="s">
        <v>5858</v>
      </c>
      <c r="D131" s="1" t="s">
        <v>5068</v>
      </c>
      <c r="E131" s="5">
        <v>43922.0</v>
      </c>
      <c r="F131" s="1" t="s">
        <v>5859</v>
      </c>
      <c r="G131" s="1" t="s">
        <v>26</v>
      </c>
      <c r="H131" s="1" t="s">
        <v>5102</v>
      </c>
      <c r="I131" s="1" t="s">
        <v>18</v>
      </c>
      <c r="J131" s="1" t="s">
        <v>5071</v>
      </c>
      <c r="K131" s="6" t="s">
        <v>5860</v>
      </c>
      <c r="L131" s="6" t="s">
        <v>5861</v>
      </c>
      <c r="M131" s="1" t="s">
        <v>5862</v>
      </c>
      <c r="R131" s="1" t="b">
        <v>0</v>
      </c>
      <c r="S131" s="1">
        <v>0.0</v>
      </c>
      <c r="T131" s="1">
        <v>3756.0</v>
      </c>
      <c r="U131" s="1" t="b">
        <v>0</v>
      </c>
      <c r="V131" s="1" t="s">
        <v>5372</v>
      </c>
      <c r="W131" s="1" t="s">
        <v>5863</v>
      </c>
      <c r="X131" s="1">
        <v>200.0</v>
      </c>
      <c r="Y131" s="1" t="s">
        <v>5075</v>
      </c>
      <c r="Z131" s="1" t="s">
        <v>5076</v>
      </c>
      <c r="AC131" s="1" t="s">
        <v>5077</v>
      </c>
      <c r="AD131" s="1" t="s">
        <v>5093</v>
      </c>
      <c r="AG131" s="5">
        <v>42949.0</v>
      </c>
      <c r="AH131" s="1">
        <v>176928.0</v>
      </c>
    </row>
    <row r="132">
      <c r="A132" s="1">
        <v>172990.0</v>
      </c>
      <c r="B132" s="1">
        <v>0.0</v>
      </c>
      <c r="C132" s="1" t="s">
        <v>5864</v>
      </c>
      <c r="D132" s="1" t="s">
        <v>5081</v>
      </c>
      <c r="E132" s="5">
        <v>43922.0</v>
      </c>
      <c r="F132" s="1" t="s">
        <v>5865</v>
      </c>
      <c r="G132" s="1" t="s">
        <v>26</v>
      </c>
      <c r="H132" s="1" t="s">
        <v>5102</v>
      </c>
      <c r="I132" s="1" t="s">
        <v>18</v>
      </c>
      <c r="J132" s="1" t="s">
        <v>5071</v>
      </c>
      <c r="K132" s="6" t="s">
        <v>5866</v>
      </c>
      <c r="L132" s="6" t="s">
        <v>5867</v>
      </c>
      <c r="M132" s="1" t="s">
        <v>5799</v>
      </c>
      <c r="R132" s="1" t="b">
        <v>0</v>
      </c>
      <c r="S132" s="1">
        <v>0.0</v>
      </c>
      <c r="T132" s="1">
        <v>3756.0</v>
      </c>
      <c r="U132" s="1" t="b">
        <v>0</v>
      </c>
      <c r="V132" s="1" t="s">
        <v>5372</v>
      </c>
      <c r="W132" s="1" t="s">
        <v>5863</v>
      </c>
      <c r="X132" s="1">
        <v>200.0</v>
      </c>
      <c r="Z132" s="1" t="s">
        <v>5076</v>
      </c>
      <c r="AA132" s="1" t="s">
        <v>5859</v>
      </c>
      <c r="AG132" s="5">
        <v>43298.0</v>
      </c>
    </row>
    <row r="133">
      <c r="A133" s="1">
        <v>3828.0</v>
      </c>
      <c r="B133" s="1">
        <v>0.0</v>
      </c>
      <c r="C133" s="1" t="s">
        <v>5868</v>
      </c>
      <c r="D133" s="1" t="s">
        <v>5068</v>
      </c>
      <c r="E133" s="5">
        <v>44263.0</v>
      </c>
      <c r="F133" s="1" t="s">
        <v>5869</v>
      </c>
      <c r="G133" s="1" t="s">
        <v>5122</v>
      </c>
      <c r="H133" s="1" t="s">
        <v>5116</v>
      </c>
      <c r="I133" s="1" t="s">
        <v>18</v>
      </c>
      <c r="J133" s="1" t="s">
        <v>5071</v>
      </c>
      <c r="K133" s="1" t="s">
        <v>5072</v>
      </c>
      <c r="L133" s="6" t="s">
        <v>5870</v>
      </c>
      <c r="M133" s="1" t="s">
        <v>5871</v>
      </c>
      <c r="R133" s="1" t="b">
        <v>0</v>
      </c>
      <c r="S133" s="1">
        <v>0.0</v>
      </c>
      <c r="U133" s="1" t="b">
        <v>0</v>
      </c>
      <c r="V133" s="1" t="s">
        <v>5872</v>
      </c>
      <c r="W133" s="1" t="s">
        <v>5873</v>
      </c>
      <c r="Y133" s="1" t="s">
        <v>5075</v>
      </c>
      <c r="AC133" s="1" t="s">
        <v>5077</v>
      </c>
      <c r="AD133" s="1" t="s">
        <v>5093</v>
      </c>
      <c r="AG133" s="5">
        <v>42971.0</v>
      </c>
      <c r="AH133" s="1">
        <v>539.0</v>
      </c>
    </row>
    <row r="134">
      <c r="A134" s="1">
        <v>173084.0</v>
      </c>
      <c r="B134" s="1">
        <v>0.0</v>
      </c>
      <c r="C134" s="1" t="s">
        <v>5874</v>
      </c>
      <c r="D134" s="1" t="s">
        <v>5081</v>
      </c>
      <c r="E134" s="5">
        <v>44263.0</v>
      </c>
      <c r="F134" s="1" t="s">
        <v>5875</v>
      </c>
      <c r="G134" s="1" t="s">
        <v>5122</v>
      </c>
      <c r="H134" s="1" t="s">
        <v>5116</v>
      </c>
      <c r="I134" s="1" t="s">
        <v>18</v>
      </c>
      <c r="J134" s="1" t="s">
        <v>5071</v>
      </c>
      <c r="K134" s="1" t="s">
        <v>5072</v>
      </c>
      <c r="L134" s="6" t="s">
        <v>5876</v>
      </c>
      <c r="M134" s="1" t="s">
        <v>5877</v>
      </c>
      <c r="R134" s="1" t="b">
        <v>0</v>
      </c>
      <c r="S134" s="1">
        <v>0.0</v>
      </c>
      <c r="U134" s="1" t="b">
        <v>0</v>
      </c>
      <c r="V134" s="1" t="s">
        <v>5872</v>
      </c>
      <c r="W134" s="1" t="s">
        <v>5873</v>
      </c>
      <c r="AA134" s="1" t="s">
        <v>5869</v>
      </c>
      <c r="AG134" s="5">
        <v>43298.0</v>
      </c>
    </row>
    <row r="135">
      <c r="A135" s="1">
        <v>3829.0</v>
      </c>
      <c r="B135" s="1">
        <v>0.0</v>
      </c>
      <c r="C135" s="1" t="s">
        <v>5878</v>
      </c>
      <c r="D135" s="1" t="s">
        <v>5068</v>
      </c>
      <c r="F135" s="1" t="s">
        <v>5879</v>
      </c>
      <c r="G135" s="1" t="s">
        <v>26</v>
      </c>
      <c r="H135" s="1" t="s">
        <v>5116</v>
      </c>
      <c r="I135" s="1" t="s">
        <v>18</v>
      </c>
      <c r="J135" s="1" t="s">
        <v>5071</v>
      </c>
      <c r="K135" s="1" t="s">
        <v>5072</v>
      </c>
      <c r="L135" s="6" t="s">
        <v>5880</v>
      </c>
      <c r="M135" s="1" t="s">
        <v>5881</v>
      </c>
      <c r="R135" s="1" t="b">
        <v>0</v>
      </c>
      <c r="S135" s="1">
        <v>0.0</v>
      </c>
      <c r="U135" s="1" t="b">
        <v>0</v>
      </c>
      <c r="V135" s="1" t="s">
        <v>5882</v>
      </c>
      <c r="W135" s="1" t="s">
        <v>5883</v>
      </c>
      <c r="Y135" s="1" t="s">
        <v>5142</v>
      </c>
      <c r="AC135" s="1" t="s">
        <v>5077</v>
      </c>
      <c r="AD135" s="1" t="s">
        <v>5093</v>
      </c>
      <c r="AG135" s="5">
        <v>42971.0</v>
      </c>
      <c r="AH135" s="1">
        <v>637.0</v>
      </c>
    </row>
    <row r="136">
      <c r="A136" s="1">
        <v>173114.0</v>
      </c>
      <c r="B136" s="1">
        <v>0.0</v>
      </c>
      <c r="C136" s="1" t="s">
        <v>5884</v>
      </c>
      <c r="D136" s="1" t="s">
        <v>5081</v>
      </c>
      <c r="F136" s="1" t="s">
        <v>5885</v>
      </c>
      <c r="G136" s="1" t="s">
        <v>26</v>
      </c>
      <c r="H136" s="1" t="s">
        <v>5116</v>
      </c>
      <c r="I136" s="1" t="s">
        <v>18</v>
      </c>
      <c r="J136" s="1" t="s">
        <v>5071</v>
      </c>
      <c r="K136" s="1" t="s">
        <v>5072</v>
      </c>
      <c r="L136" s="6" t="s">
        <v>5886</v>
      </c>
      <c r="M136" s="1" t="s">
        <v>5887</v>
      </c>
      <c r="R136" s="1" t="b">
        <v>0</v>
      </c>
      <c r="S136" s="1">
        <v>0.0</v>
      </c>
      <c r="U136" s="1" t="b">
        <v>0</v>
      </c>
      <c r="V136" s="1" t="s">
        <v>5882</v>
      </c>
      <c r="W136" s="1" t="s">
        <v>5883</v>
      </c>
      <c r="AA136" s="1" t="s">
        <v>5879</v>
      </c>
      <c r="AG136" s="5">
        <v>43298.0</v>
      </c>
    </row>
    <row r="137">
      <c r="A137" s="1">
        <v>3831.0</v>
      </c>
      <c r="B137" s="1">
        <v>0.0</v>
      </c>
      <c r="C137" s="1" t="s">
        <v>208</v>
      </c>
      <c r="D137" s="1" t="s">
        <v>5068</v>
      </c>
      <c r="E137" s="5">
        <v>44846.0</v>
      </c>
      <c r="F137" s="1" t="s">
        <v>209</v>
      </c>
      <c r="G137" s="1" t="s">
        <v>26</v>
      </c>
      <c r="H137" s="1" t="s">
        <v>5102</v>
      </c>
      <c r="I137" s="1" t="s">
        <v>18</v>
      </c>
      <c r="J137" s="1" t="s">
        <v>5071</v>
      </c>
      <c r="K137" s="6" t="s">
        <v>5888</v>
      </c>
      <c r="L137" s="6" t="s">
        <v>5889</v>
      </c>
      <c r="M137" s="1" t="s">
        <v>5890</v>
      </c>
      <c r="O137" s="5">
        <v>41275.0</v>
      </c>
      <c r="R137" s="1" t="b">
        <v>0</v>
      </c>
      <c r="S137" s="1">
        <v>0.0</v>
      </c>
      <c r="T137" s="1">
        <v>3756.0</v>
      </c>
      <c r="U137" s="1" t="b">
        <v>0</v>
      </c>
      <c r="V137" s="1" t="s">
        <v>5688</v>
      </c>
      <c r="W137" s="1" t="s">
        <v>5891</v>
      </c>
      <c r="X137" s="1">
        <v>200.0</v>
      </c>
      <c r="Y137" s="1" t="s">
        <v>5075</v>
      </c>
      <c r="Z137" s="1" t="s">
        <v>5076</v>
      </c>
      <c r="AC137" s="1" t="s">
        <v>5077</v>
      </c>
      <c r="AD137" s="1" t="s">
        <v>5093</v>
      </c>
      <c r="AG137" s="5">
        <v>42972.0</v>
      </c>
      <c r="AH137" s="1">
        <v>368183.0</v>
      </c>
    </row>
    <row r="138">
      <c r="A138" s="1">
        <v>172735.0</v>
      </c>
      <c r="B138" s="1">
        <v>0.0</v>
      </c>
      <c r="C138" s="1" t="s">
        <v>5892</v>
      </c>
      <c r="D138" s="1" t="s">
        <v>5081</v>
      </c>
      <c r="E138" s="5">
        <v>44846.0</v>
      </c>
      <c r="F138" s="1" t="s">
        <v>5893</v>
      </c>
      <c r="G138" s="1" t="s">
        <v>26</v>
      </c>
      <c r="H138" s="1" t="s">
        <v>5102</v>
      </c>
      <c r="I138" s="1" t="s">
        <v>18</v>
      </c>
      <c r="J138" s="1" t="s">
        <v>5071</v>
      </c>
      <c r="K138" s="6" t="s">
        <v>5894</v>
      </c>
      <c r="L138" s="6" t="s">
        <v>5895</v>
      </c>
      <c r="M138" s="1" t="s">
        <v>5896</v>
      </c>
      <c r="O138" s="5">
        <v>41275.0</v>
      </c>
      <c r="R138" s="1" t="b">
        <v>0</v>
      </c>
      <c r="S138" s="1">
        <v>0.0</v>
      </c>
      <c r="T138" s="1">
        <v>3756.0</v>
      </c>
      <c r="U138" s="1" t="b">
        <v>0</v>
      </c>
      <c r="V138" s="1" t="s">
        <v>5688</v>
      </c>
      <c r="W138" s="1" t="s">
        <v>5891</v>
      </c>
      <c r="X138" s="1">
        <v>200.0</v>
      </c>
      <c r="Y138" s="1" t="s">
        <v>5075</v>
      </c>
      <c r="Z138" s="1" t="s">
        <v>5076</v>
      </c>
      <c r="AA138" s="1" t="s">
        <v>209</v>
      </c>
      <c r="AG138" s="5">
        <v>43298.0</v>
      </c>
    </row>
    <row r="139">
      <c r="A139" s="1">
        <v>3833.0</v>
      </c>
      <c r="B139" s="1">
        <v>0.0</v>
      </c>
      <c r="C139" s="1" t="s">
        <v>5897</v>
      </c>
      <c r="D139" s="1" t="s">
        <v>5068</v>
      </c>
      <c r="F139" s="1" t="s">
        <v>5898</v>
      </c>
      <c r="G139" s="1" t="s">
        <v>5899</v>
      </c>
      <c r="H139" s="1" t="s">
        <v>5102</v>
      </c>
      <c r="I139" s="1" t="s">
        <v>18</v>
      </c>
      <c r="J139" s="1" t="s">
        <v>5071</v>
      </c>
      <c r="K139" s="6" t="s">
        <v>5900</v>
      </c>
      <c r="L139" s="6" t="s">
        <v>5901</v>
      </c>
      <c r="M139" s="1" t="s">
        <v>5902</v>
      </c>
      <c r="O139" s="5">
        <v>33239.0</v>
      </c>
      <c r="R139" s="1" t="b">
        <v>0</v>
      </c>
      <c r="S139" s="1">
        <v>0.0</v>
      </c>
      <c r="T139" s="1">
        <v>3756.0</v>
      </c>
      <c r="U139" s="1" t="b">
        <v>0</v>
      </c>
      <c r="V139" s="1" t="s">
        <v>5372</v>
      </c>
      <c r="W139" s="1" t="s">
        <v>5903</v>
      </c>
      <c r="X139" s="1">
        <v>200.0</v>
      </c>
      <c r="Y139" s="1" t="s">
        <v>5075</v>
      </c>
      <c r="Z139" s="1" t="s">
        <v>5076</v>
      </c>
      <c r="AC139" s="1" t="s">
        <v>5077</v>
      </c>
      <c r="AD139" s="1" t="s">
        <v>5093</v>
      </c>
      <c r="AG139" s="5">
        <v>42972.0</v>
      </c>
      <c r="AH139" s="1">
        <v>847.0</v>
      </c>
    </row>
    <row r="140">
      <c r="A140" s="1">
        <v>173032.0</v>
      </c>
      <c r="B140" s="1">
        <v>0.0</v>
      </c>
      <c r="C140" s="1" t="s">
        <v>5904</v>
      </c>
      <c r="D140" s="1" t="s">
        <v>5081</v>
      </c>
      <c r="F140" s="1" t="s">
        <v>5905</v>
      </c>
      <c r="G140" s="1" t="s">
        <v>5899</v>
      </c>
      <c r="H140" s="1" t="s">
        <v>5102</v>
      </c>
      <c r="I140" s="1" t="s">
        <v>18</v>
      </c>
      <c r="J140" s="1" t="s">
        <v>5071</v>
      </c>
      <c r="K140" s="6" t="s">
        <v>5906</v>
      </c>
      <c r="L140" s="6" t="s">
        <v>5907</v>
      </c>
      <c r="M140" s="1" t="s">
        <v>5799</v>
      </c>
      <c r="O140" s="5">
        <v>33239.0</v>
      </c>
      <c r="R140" s="1" t="b">
        <v>0</v>
      </c>
      <c r="S140" s="1">
        <v>0.0</v>
      </c>
      <c r="T140" s="1">
        <v>3756.0</v>
      </c>
      <c r="U140" s="1" t="b">
        <v>0</v>
      </c>
      <c r="V140" s="1" t="s">
        <v>5372</v>
      </c>
      <c r="W140" s="1" t="s">
        <v>5903</v>
      </c>
      <c r="X140" s="1">
        <v>200.0</v>
      </c>
      <c r="Z140" s="1" t="s">
        <v>5076</v>
      </c>
      <c r="AA140" s="1" t="s">
        <v>5898</v>
      </c>
      <c r="AG140" s="5">
        <v>43298.0</v>
      </c>
    </row>
    <row r="141">
      <c r="A141" s="1">
        <v>3834.0</v>
      </c>
      <c r="B141" s="1">
        <v>0.0</v>
      </c>
      <c r="C141" s="1" t="s">
        <v>5908</v>
      </c>
      <c r="D141" s="1" t="s">
        <v>5068</v>
      </c>
      <c r="F141" s="1" t="s">
        <v>5909</v>
      </c>
      <c r="G141" s="1" t="s">
        <v>26</v>
      </c>
      <c r="H141" s="1" t="s">
        <v>5102</v>
      </c>
      <c r="I141" s="1" t="s">
        <v>18</v>
      </c>
      <c r="J141" s="1" t="s">
        <v>5071</v>
      </c>
      <c r="K141" s="6" t="s">
        <v>5910</v>
      </c>
      <c r="L141" s="6" t="s">
        <v>5911</v>
      </c>
      <c r="M141" s="1" t="s">
        <v>5912</v>
      </c>
      <c r="O141" s="5">
        <v>30317.0</v>
      </c>
      <c r="R141" s="1" t="b">
        <v>0</v>
      </c>
      <c r="S141" s="1">
        <v>0.0</v>
      </c>
      <c r="T141" s="1">
        <v>3756.0</v>
      </c>
      <c r="U141" s="1" t="b">
        <v>0</v>
      </c>
      <c r="V141" s="1" t="s">
        <v>5913</v>
      </c>
      <c r="W141" s="1" t="s">
        <v>5914</v>
      </c>
      <c r="X141" s="1">
        <v>200.0</v>
      </c>
      <c r="Y141" s="1" t="s">
        <v>5075</v>
      </c>
      <c r="Z141" s="1" t="s">
        <v>5076</v>
      </c>
      <c r="AC141" s="1" t="s">
        <v>5077</v>
      </c>
      <c r="AD141" s="1" t="s">
        <v>5093</v>
      </c>
      <c r="AG141" s="5">
        <v>42972.0</v>
      </c>
      <c r="AH141" s="1">
        <v>872.0</v>
      </c>
    </row>
    <row r="142">
      <c r="A142" s="1">
        <v>172991.0</v>
      </c>
      <c r="B142" s="1">
        <v>0.0</v>
      </c>
      <c r="C142" s="1" t="s">
        <v>5915</v>
      </c>
      <c r="D142" s="1" t="s">
        <v>5081</v>
      </c>
      <c r="F142" s="1" t="s">
        <v>5916</v>
      </c>
      <c r="G142" s="1" t="s">
        <v>26</v>
      </c>
      <c r="H142" s="1" t="s">
        <v>5102</v>
      </c>
      <c r="I142" s="1" t="s">
        <v>18</v>
      </c>
      <c r="J142" s="1" t="s">
        <v>5071</v>
      </c>
      <c r="K142" s="6" t="s">
        <v>5917</v>
      </c>
      <c r="L142" s="6" t="s">
        <v>5918</v>
      </c>
      <c r="M142" s="1" t="s">
        <v>5799</v>
      </c>
      <c r="O142" s="5">
        <v>30317.0</v>
      </c>
      <c r="R142" s="1" t="b">
        <v>0</v>
      </c>
      <c r="S142" s="1">
        <v>0.0</v>
      </c>
      <c r="T142" s="1">
        <v>3756.0</v>
      </c>
      <c r="U142" s="1" t="b">
        <v>0</v>
      </c>
      <c r="V142" s="1" t="s">
        <v>5913</v>
      </c>
      <c r="W142" s="1" t="s">
        <v>5914</v>
      </c>
      <c r="X142" s="1">
        <v>200.0</v>
      </c>
      <c r="Z142" s="1" t="s">
        <v>5076</v>
      </c>
      <c r="AA142" s="1" t="s">
        <v>5909</v>
      </c>
      <c r="AG142" s="5">
        <v>43298.0</v>
      </c>
    </row>
    <row r="143">
      <c r="A143" s="1">
        <v>3850.0</v>
      </c>
      <c r="B143" s="1">
        <v>1.0</v>
      </c>
      <c r="C143" s="1" t="s">
        <v>109</v>
      </c>
      <c r="D143" s="1" t="s">
        <v>5068</v>
      </c>
      <c r="E143" s="5">
        <v>44880.0</v>
      </c>
      <c r="F143" s="1" t="s">
        <v>110</v>
      </c>
      <c r="G143" s="1" t="s">
        <v>26</v>
      </c>
      <c r="H143" s="1" t="s">
        <v>5102</v>
      </c>
      <c r="I143" s="1" t="s">
        <v>18</v>
      </c>
      <c r="J143" s="1" t="s">
        <v>21</v>
      </c>
      <c r="K143" s="6" t="s">
        <v>5919</v>
      </c>
      <c r="L143" s="6" t="s">
        <v>5920</v>
      </c>
      <c r="M143" s="1" t="s">
        <v>5921</v>
      </c>
      <c r="O143" s="5">
        <v>40909.0</v>
      </c>
      <c r="R143" s="1" t="b">
        <v>0</v>
      </c>
      <c r="S143" s="1">
        <v>0.0</v>
      </c>
      <c r="T143" s="1">
        <v>4622.0</v>
      </c>
      <c r="U143" s="1" t="b">
        <v>0</v>
      </c>
      <c r="V143" s="1" t="s">
        <v>5663</v>
      </c>
      <c r="W143" s="1" t="s">
        <v>5922</v>
      </c>
      <c r="X143" s="1">
        <v>200.0</v>
      </c>
      <c r="Y143" s="1" t="s">
        <v>5142</v>
      </c>
      <c r="Z143" s="1" t="s">
        <v>413</v>
      </c>
      <c r="AC143" s="1" t="s">
        <v>5077</v>
      </c>
      <c r="AD143" s="1" t="s">
        <v>5093</v>
      </c>
      <c r="AG143" s="5">
        <v>43000.0</v>
      </c>
      <c r="AH143" s="1">
        <v>370450.0</v>
      </c>
    </row>
    <row r="144">
      <c r="A144" s="1">
        <v>3862.0</v>
      </c>
      <c r="B144" s="1">
        <v>1.0</v>
      </c>
      <c r="C144" s="1" t="s">
        <v>5147</v>
      </c>
      <c r="D144" s="1" t="s">
        <v>5068</v>
      </c>
      <c r="E144" s="5">
        <v>44889.0</v>
      </c>
      <c r="F144" s="1" t="s">
        <v>5923</v>
      </c>
      <c r="G144" s="1" t="s">
        <v>26</v>
      </c>
      <c r="H144" s="1" t="s">
        <v>5102</v>
      </c>
      <c r="I144" s="1" t="s">
        <v>18</v>
      </c>
      <c r="J144" s="1" t="s">
        <v>24</v>
      </c>
      <c r="K144" s="6" t="s">
        <v>5924</v>
      </c>
      <c r="L144" s="6" t="s">
        <v>5925</v>
      </c>
      <c r="M144" s="1" t="s">
        <v>5926</v>
      </c>
      <c r="O144" s="5">
        <v>35065.0</v>
      </c>
      <c r="R144" s="1" t="b">
        <v>0</v>
      </c>
      <c r="S144" s="1">
        <v>0.0</v>
      </c>
      <c r="U144" s="1" t="b">
        <v>0</v>
      </c>
      <c r="V144" s="1" t="s">
        <v>5927</v>
      </c>
      <c r="W144" s="1" t="s">
        <v>5928</v>
      </c>
      <c r="X144" s="1">
        <v>200.0</v>
      </c>
      <c r="Y144" s="1" t="s">
        <v>5075</v>
      </c>
      <c r="AC144" s="1" t="s">
        <v>5077</v>
      </c>
      <c r="AD144" s="1" t="s">
        <v>5093</v>
      </c>
      <c r="AG144" s="5">
        <v>43000.0</v>
      </c>
      <c r="AH144" s="1">
        <v>173525.0</v>
      </c>
    </row>
    <row r="145">
      <c r="A145" s="1">
        <v>3863.0</v>
      </c>
      <c r="B145" s="1">
        <v>0.0</v>
      </c>
      <c r="C145" s="1" t="s">
        <v>5929</v>
      </c>
      <c r="D145" s="1" t="s">
        <v>5068</v>
      </c>
      <c r="F145" s="1" t="s">
        <v>5930</v>
      </c>
      <c r="G145" s="1" t="s">
        <v>5115</v>
      </c>
      <c r="H145" s="1" t="s">
        <v>5102</v>
      </c>
      <c r="I145" s="1" t="s">
        <v>356</v>
      </c>
      <c r="J145" s="1" t="s">
        <v>24</v>
      </c>
      <c r="K145" s="6" t="s">
        <v>5931</v>
      </c>
      <c r="L145" s="6" t="s">
        <v>5932</v>
      </c>
      <c r="M145" s="1" t="s">
        <v>5933</v>
      </c>
      <c r="O145" s="5">
        <v>41275.0</v>
      </c>
      <c r="R145" s="1" t="b">
        <v>0</v>
      </c>
      <c r="S145" s="1">
        <v>0.0</v>
      </c>
      <c r="T145" s="1">
        <v>401.0</v>
      </c>
      <c r="U145" s="1" t="b">
        <v>0</v>
      </c>
      <c r="V145" s="1" t="s">
        <v>5934</v>
      </c>
      <c r="W145" s="1" t="s">
        <v>5935</v>
      </c>
      <c r="X145" s="1">
        <v>200.0</v>
      </c>
      <c r="Y145" s="1" t="s">
        <v>5142</v>
      </c>
      <c r="Z145" s="1" t="s">
        <v>5162</v>
      </c>
      <c r="AC145" s="1" t="s">
        <v>5077</v>
      </c>
      <c r="AD145" s="1" t="s">
        <v>5093</v>
      </c>
      <c r="AG145" s="5">
        <v>43000.0</v>
      </c>
      <c r="AH145" s="1">
        <v>1164.0</v>
      </c>
    </row>
    <row r="146">
      <c r="A146" s="1">
        <v>3864.0</v>
      </c>
      <c r="B146" s="1">
        <v>1.0</v>
      </c>
      <c r="C146" s="1" t="s">
        <v>5936</v>
      </c>
      <c r="D146" s="1" t="s">
        <v>5068</v>
      </c>
      <c r="E146" s="5">
        <v>44187.0</v>
      </c>
      <c r="F146" s="1" t="s">
        <v>5937</v>
      </c>
      <c r="G146" s="1" t="s">
        <v>26</v>
      </c>
      <c r="H146" s="1" t="s">
        <v>5102</v>
      </c>
      <c r="I146" s="1" t="s">
        <v>18</v>
      </c>
      <c r="J146" s="1" t="s">
        <v>24</v>
      </c>
      <c r="K146" s="6" t="s">
        <v>5938</v>
      </c>
      <c r="L146" s="6" t="s">
        <v>5939</v>
      </c>
      <c r="M146" s="1" t="s">
        <v>5940</v>
      </c>
      <c r="O146" s="5">
        <v>40179.0</v>
      </c>
      <c r="R146" s="1" t="b">
        <v>0</v>
      </c>
      <c r="S146" s="1">
        <v>0.0</v>
      </c>
      <c r="T146" s="1">
        <v>401.0</v>
      </c>
      <c r="U146" s="1" t="b">
        <v>0</v>
      </c>
      <c r="V146" s="1" t="s">
        <v>5843</v>
      </c>
      <c r="W146" s="1" t="s">
        <v>5941</v>
      </c>
      <c r="X146" s="1">
        <v>200.0</v>
      </c>
      <c r="Y146" s="1" t="s">
        <v>5142</v>
      </c>
      <c r="Z146" s="1" t="s">
        <v>5162</v>
      </c>
      <c r="AC146" s="1" t="s">
        <v>5077</v>
      </c>
      <c r="AD146" s="1" t="s">
        <v>5093</v>
      </c>
      <c r="AG146" s="5">
        <v>43000.0</v>
      </c>
      <c r="AH146" s="1">
        <v>284996.0</v>
      </c>
    </row>
    <row r="147">
      <c r="A147" s="1">
        <v>3866.0</v>
      </c>
      <c r="B147" s="1">
        <v>1.0</v>
      </c>
      <c r="C147" s="1" t="s">
        <v>5942</v>
      </c>
      <c r="D147" s="1" t="s">
        <v>5068</v>
      </c>
      <c r="F147" s="1" t="s">
        <v>5943</v>
      </c>
      <c r="G147" s="1" t="s">
        <v>26</v>
      </c>
      <c r="H147" s="1" t="s">
        <v>5102</v>
      </c>
      <c r="I147" s="1" t="s">
        <v>18</v>
      </c>
      <c r="J147" s="1" t="s">
        <v>24</v>
      </c>
      <c r="K147" s="6" t="s">
        <v>5944</v>
      </c>
      <c r="L147" s="6" t="s">
        <v>5945</v>
      </c>
      <c r="M147" s="1" t="s">
        <v>5946</v>
      </c>
      <c r="O147" s="5">
        <v>40909.0</v>
      </c>
      <c r="R147" s="1" t="b">
        <v>0</v>
      </c>
      <c r="S147" s="1">
        <v>0.0</v>
      </c>
      <c r="T147" s="1">
        <v>401.0</v>
      </c>
      <c r="U147" s="1" t="b">
        <v>0</v>
      </c>
      <c r="V147" s="1" t="s">
        <v>5663</v>
      </c>
      <c r="W147" s="1" t="s">
        <v>5947</v>
      </c>
      <c r="X147" s="1">
        <v>200.0</v>
      </c>
      <c r="Y147" s="1" t="s">
        <v>5142</v>
      </c>
      <c r="Z147" s="1" t="s">
        <v>5162</v>
      </c>
      <c r="AC147" s="1" t="s">
        <v>5077</v>
      </c>
      <c r="AD147" s="1" t="s">
        <v>5093</v>
      </c>
      <c r="AG147" s="5">
        <v>43004.0</v>
      </c>
      <c r="AH147" s="1">
        <v>67212.0</v>
      </c>
    </row>
    <row r="148">
      <c r="A148" s="1">
        <v>3867.0</v>
      </c>
      <c r="B148" s="1">
        <v>0.0</v>
      </c>
      <c r="C148" s="1" t="s">
        <v>5948</v>
      </c>
      <c r="D148" s="1" t="s">
        <v>5068</v>
      </c>
      <c r="E148" s="5">
        <v>44257.0</v>
      </c>
      <c r="F148" s="1" t="s">
        <v>5949</v>
      </c>
      <c r="G148" s="1" t="s">
        <v>26</v>
      </c>
      <c r="H148" s="1" t="s">
        <v>5102</v>
      </c>
      <c r="I148" s="1" t="s">
        <v>18</v>
      </c>
      <c r="J148" s="1" t="s">
        <v>24</v>
      </c>
      <c r="K148" s="6" t="s">
        <v>5950</v>
      </c>
      <c r="L148" s="6" t="s">
        <v>5951</v>
      </c>
      <c r="M148" s="1" t="s">
        <v>5952</v>
      </c>
      <c r="O148" s="5">
        <v>41275.0</v>
      </c>
      <c r="R148" s="1" t="b">
        <v>0</v>
      </c>
      <c r="S148" s="1">
        <v>0.0</v>
      </c>
      <c r="T148" s="1">
        <v>401.0</v>
      </c>
      <c r="U148" s="1" t="b">
        <v>0</v>
      </c>
      <c r="V148" s="1" t="s">
        <v>5953</v>
      </c>
      <c r="W148" s="1" t="s">
        <v>5954</v>
      </c>
      <c r="X148" s="1">
        <v>200.0</v>
      </c>
      <c r="Z148" s="1" t="s">
        <v>5162</v>
      </c>
      <c r="AG148" s="5">
        <v>43004.0</v>
      </c>
    </row>
    <row r="149">
      <c r="A149" s="1">
        <v>3907.0</v>
      </c>
      <c r="B149" s="1">
        <v>0.0</v>
      </c>
      <c r="C149" s="1" t="s">
        <v>5955</v>
      </c>
      <c r="D149" s="1" t="s">
        <v>5068</v>
      </c>
      <c r="E149" s="5">
        <v>44341.0</v>
      </c>
      <c r="F149" s="1" t="s">
        <v>5956</v>
      </c>
      <c r="G149" s="1" t="s">
        <v>5899</v>
      </c>
      <c r="H149" s="1" t="s">
        <v>5102</v>
      </c>
      <c r="I149" s="1" t="s">
        <v>18</v>
      </c>
      <c r="J149" s="1" t="s">
        <v>24</v>
      </c>
      <c r="K149" s="6" t="s">
        <v>5957</v>
      </c>
      <c r="L149" s="6" t="s">
        <v>5958</v>
      </c>
      <c r="M149" s="1" t="s">
        <v>5959</v>
      </c>
      <c r="O149" s="5">
        <v>40909.0</v>
      </c>
      <c r="R149" s="1" t="b">
        <v>0</v>
      </c>
      <c r="S149" s="1">
        <v>0.0</v>
      </c>
      <c r="T149" s="1">
        <v>400.0</v>
      </c>
      <c r="U149" s="1" t="b">
        <v>0</v>
      </c>
      <c r="V149" s="1" t="s">
        <v>5688</v>
      </c>
      <c r="W149" s="1" t="s">
        <v>5960</v>
      </c>
      <c r="X149" s="1">
        <v>200.0</v>
      </c>
      <c r="Y149" s="1" t="s">
        <v>5075</v>
      </c>
      <c r="Z149" s="1" t="s">
        <v>5961</v>
      </c>
      <c r="AG149" s="5">
        <v>43005.0</v>
      </c>
    </row>
    <row r="150">
      <c r="A150" s="1">
        <v>3914.0</v>
      </c>
      <c r="B150" s="1">
        <v>0.0</v>
      </c>
      <c r="C150" s="1" t="s">
        <v>5962</v>
      </c>
      <c r="D150" s="1" t="s">
        <v>5068</v>
      </c>
      <c r="E150" s="5">
        <v>44271.0</v>
      </c>
      <c r="F150" s="1" t="s">
        <v>5963</v>
      </c>
      <c r="G150" s="1" t="s">
        <v>26</v>
      </c>
      <c r="H150" s="1" t="s">
        <v>5102</v>
      </c>
      <c r="I150" s="1" t="s">
        <v>18</v>
      </c>
      <c r="J150" s="1" t="s">
        <v>24</v>
      </c>
      <c r="K150" s="6" t="s">
        <v>5964</v>
      </c>
      <c r="L150" s="6" t="s">
        <v>5965</v>
      </c>
      <c r="M150" s="1" t="s">
        <v>5966</v>
      </c>
      <c r="O150" s="5">
        <v>41640.0</v>
      </c>
      <c r="R150" s="1" t="b">
        <v>0</v>
      </c>
      <c r="S150" s="1">
        <v>0.0</v>
      </c>
      <c r="T150" s="1">
        <v>401.0</v>
      </c>
      <c r="U150" s="1" t="b">
        <v>0</v>
      </c>
      <c r="V150" s="1" t="s">
        <v>5953</v>
      </c>
      <c r="W150" s="1" t="s">
        <v>5967</v>
      </c>
      <c r="X150" s="1">
        <v>200.0</v>
      </c>
      <c r="Z150" s="1" t="s">
        <v>5162</v>
      </c>
      <c r="AG150" s="5">
        <v>43005.0</v>
      </c>
    </row>
    <row r="151">
      <c r="A151" s="1">
        <v>3932.0</v>
      </c>
      <c r="B151" s="1">
        <v>0.0</v>
      </c>
      <c r="C151" s="1" t="s">
        <v>696</v>
      </c>
      <c r="D151" s="1" t="s">
        <v>5068</v>
      </c>
      <c r="E151" s="5">
        <v>44553.0</v>
      </c>
      <c r="F151" s="1" t="s">
        <v>697</v>
      </c>
      <c r="G151" s="1" t="s">
        <v>26</v>
      </c>
      <c r="H151" s="1" t="s">
        <v>5070</v>
      </c>
      <c r="I151" s="1" t="s">
        <v>18</v>
      </c>
      <c r="J151" s="1" t="s">
        <v>24</v>
      </c>
      <c r="K151" s="1" t="s">
        <v>5072</v>
      </c>
      <c r="L151" s="6" t="s">
        <v>5968</v>
      </c>
      <c r="M151" s="1" t="s">
        <v>5969</v>
      </c>
      <c r="R151" s="1" t="b">
        <v>0</v>
      </c>
      <c r="S151" s="1">
        <v>0.0</v>
      </c>
      <c r="T151" s="1">
        <v>401.0</v>
      </c>
      <c r="U151" s="1" t="b">
        <v>0</v>
      </c>
      <c r="V151" s="1" t="s">
        <v>5970</v>
      </c>
      <c r="Y151" s="1" t="s">
        <v>5075</v>
      </c>
      <c r="Z151" s="1" t="s">
        <v>5162</v>
      </c>
      <c r="AG151" s="5">
        <v>43005.0</v>
      </c>
    </row>
    <row r="152">
      <c r="A152" s="1">
        <v>3934.0</v>
      </c>
      <c r="B152" s="1">
        <v>0.0</v>
      </c>
      <c r="C152" s="1" t="s">
        <v>708</v>
      </c>
      <c r="D152" s="1" t="s">
        <v>5068</v>
      </c>
      <c r="E152" s="5">
        <v>44505.0</v>
      </c>
      <c r="F152" s="1" t="s">
        <v>709</v>
      </c>
      <c r="G152" s="1" t="s">
        <v>26</v>
      </c>
      <c r="H152" s="1" t="s">
        <v>5070</v>
      </c>
      <c r="I152" s="1" t="s">
        <v>18</v>
      </c>
      <c r="J152" s="1" t="s">
        <v>24</v>
      </c>
      <c r="K152" s="1" t="s">
        <v>5072</v>
      </c>
      <c r="L152" s="6" t="s">
        <v>5971</v>
      </c>
      <c r="M152" s="1" t="s">
        <v>5972</v>
      </c>
      <c r="R152" s="1" t="b">
        <v>0</v>
      </c>
      <c r="S152" s="1">
        <v>0.0</v>
      </c>
      <c r="T152" s="1">
        <v>401.0</v>
      </c>
      <c r="U152" s="1" t="b">
        <v>0</v>
      </c>
      <c r="V152" s="1" t="s">
        <v>5973</v>
      </c>
      <c r="Z152" s="1" t="s">
        <v>5162</v>
      </c>
      <c r="AG152" s="5">
        <v>43005.0</v>
      </c>
    </row>
    <row r="153">
      <c r="A153" s="1">
        <v>3935.0</v>
      </c>
      <c r="B153" s="1">
        <v>0.0</v>
      </c>
      <c r="C153" s="1" t="s">
        <v>148</v>
      </c>
      <c r="D153" s="1" t="s">
        <v>5068</v>
      </c>
      <c r="E153" s="5">
        <v>44832.0</v>
      </c>
      <c r="F153" s="1" t="s">
        <v>149</v>
      </c>
      <c r="G153" s="1" t="s">
        <v>26</v>
      </c>
      <c r="H153" s="1" t="s">
        <v>5070</v>
      </c>
      <c r="I153" s="1" t="s">
        <v>18</v>
      </c>
      <c r="J153" s="1" t="s">
        <v>24</v>
      </c>
      <c r="K153" s="1" t="s">
        <v>5072</v>
      </c>
      <c r="L153" s="6" t="s">
        <v>5974</v>
      </c>
      <c r="M153" s="1" t="s">
        <v>5975</v>
      </c>
      <c r="R153" s="1" t="b">
        <v>0</v>
      </c>
      <c r="S153" s="1">
        <v>0.0</v>
      </c>
      <c r="T153" s="1">
        <v>401.0</v>
      </c>
      <c r="U153" s="1" t="b">
        <v>0</v>
      </c>
      <c r="V153" s="1" t="s">
        <v>5976</v>
      </c>
      <c r="Z153" s="1" t="s">
        <v>5162</v>
      </c>
      <c r="AG153" s="5">
        <v>43005.0</v>
      </c>
    </row>
    <row r="154">
      <c r="A154" s="1">
        <v>3936.0</v>
      </c>
      <c r="B154" s="1">
        <v>0.0</v>
      </c>
      <c r="C154" s="1" t="s">
        <v>5977</v>
      </c>
      <c r="D154" s="1" t="s">
        <v>5068</v>
      </c>
      <c r="F154" s="1" t="s">
        <v>5978</v>
      </c>
      <c r="G154" s="1" t="s">
        <v>26</v>
      </c>
      <c r="H154" s="1" t="s">
        <v>5070</v>
      </c>
      <c r="I154" s="1" t="s">
        <v>18</v>
      </c>
      <c r="J154" s="1" t="s">
        <v>24</v>
      </c>
      <c r="K154" s="6" t="s">
        <v>5979</v>
      </c>
      <c r="L154" s="6" t="s">
        <v>5980</v>
      </c>
      <c r="M154" s="1" t="s">
        <v>5981</v>
      </c>
      <c r="R154" s="1" t="b">
        <v>0</v>
      </c>
      <c r="S154" s="1">
        <v>0.0</v>
      </c>
      <c r="T154" s="1">
        <v>401.0</v>
      </c>
      <c r="U154" s="1" t="b">
        <v>0</v>
      </c>
      <c r="V154" s="1" t="s">
        <v>5688</v>
      </c>
      <c r="W154" s="1" t="s">
        <v>5982</v>
      </c>
      <c r="X154" s="1">
        <v>200.0</v>
      </c>
      <c r="Y154" s="1" t="s">
        <v>5142</v>
      </c>
      <c r="Z154" s="1" t="s">
        <v>5162</v>
      </c>
      <c r="AC154" s="1" t="s">
        <v>5077</v>
      </c>
      <c r="AD154" s="1" t="s">
        <v>5093</v>
      </c>
      <c r="AG154" s="5">
        <v>43005.0</v>
      </c>
      <c r="AH154" s="1">
        <v>157423.0</v>
      </c>
    </row>
    <row r="155">
      <c r="A155" s="1">
        <v>3942.0</v>
      </c>
      <c r="B155" s="1">
        <v>0.0</v>
      </c>
      <c r="C155" s="1" t="s">
        <v>5983</v>
      </c>
      <c r="D155" s="1" t="s">
        <v>5068</v>
      </c>
      <c r="F155" s="1" t="s">
        <v>5984</v>
      </c>
      <c r="G155" s="1" t="s">
        <v>26</v>
      </c>
      <c r="H155" s="1" t="s">
        <v>5608</v>
      </c>
      <c r="I155" s="1" t="s">
        <v>18</v>
      </c>
      <c r="J155" s="1" t="s">
        <v>24</v>
      </c>
      <c r="K155" s="1" t="s">
        <v>5072</v>
      </c>
      <c r="L155" s="6" t="s">
        <v>5985</v>
      </c>
      <c r="M155" s="1" t="s">
        <v>5986</v>
      </c>
      <c r="R155" s="1" t="b">
        <v>0</v>
      </c>
      <c r="S155" s="1">
        <v>0.0</v>
      </c>
      <c r="T155" s="1">
        <v>401.0</v>
      </c>
      <c r="U155" s="1" t="b">
        <v>0</v>
      </c>
      <c r="V155" s="1" t="s">
        <v>5987</v>
      </c>
      <c r="Z155" s="1" t="s">
        <v>5162</v>
      </c>
      <c r="AG155" s="5">
        <v>43005.0</v>
      </c>
    </row>
    <row r="156">
      <c r="A156" s="1">
        <v>4018.0</v>
      </c>
      <c r="B156" s="1">
        <v>1.0</v>
      </c>
      <c r="C156" s="1" t="s">
        <v>5988</v>
      </c>
      <c r="D156" s="1" t="s">
        <v>5068</v>
      </c>
      <c r="F156" s="1" t="s">
        <v>5989</v>
      </c>
      <c r="G156" s="1" t="s">
        <v>5101</v>
      </c>
      <c r="H156" s="1" t="s">
        <v>5102</v>
      </c>
      <c r="I156" s="1" t="s">
        <v>18</v>
      </c>
      <c r="J156" s="1" t="s">
        <v>202</v>
      </c>
      <c r="K156" s="6" t="s">
        <v>5990</v>
      </c>
      <c r="L156" s="6" t="s">
        <v>5991</v>
      </c>
      <c r="M156" s="1" t="s">
        <v>5992</v>
      </c>
      <c r="R156" s="1" t="b">
        <v>0</v>
      </c>
      <c r="S156" s="1">
        <v>0.0</v>
      </c>
      <c r="T156" s="1">
        <v>22.0</v>
      </c>
      <c r="U156" s="1" t="b">
        <v>0</v>
      </c>
      <c r="V156" s="1" t="s">
        <v>5126</v>
      </c>
      <c r="W156" s="1" t="s">
        <v>5993</v>
      </c>
      <c r="X156" s="1">
        <v>200.0</v>
      </c>
      <c r="Y156" s="1" t="s">
        <v>5075</v>
      </c>
      <c r="Z156" s="1" t="s">
        <v>5100</v>
      </c>
      <c r="AC156" s="1" t="s">
        <v>5077</v>
      </c>
      <c r="AD156" s="1" t="s">
        <v>5093</v>
      </c>
      <c r="AG156" s="5">
        <v>43035.0</v>
      </c>
      <c r="AH156" s="1">
        <v>299607.0</v>
      </c>
    </row>
    <row r="157">
      <c r="A157" s="1">
        <v>172795.0</v>
      </c>
      <c r="B157" s="1">
        <v>1.0</v>
      </c>
      <c r="C157" s="1" t="s">
        <v>5994</v>
      </c>
      <c r="D157" s="1" t="s">
        <v>5081</v>
      </c>
      <c r="F157" s="1" t="s">
        <v>5995</v>
      </c>
      <c r="G157" s="1" t="s">
        <v>5101</v>
      </c>
      <c r="H157" s="1" t="s">
        <v>5102</v>
      </c>
      <c r="I157" s="1" t="s">
        <v>18</v>
      </c>
      <c r="J157" s="1" t="s">
        <v>202</v>
      </c>
      <c r="K157" s="6" t="s">
        <v>5996</v>
      </c>
      <c r="L157" s="6" t="s">
        <v>5997</v>
      </c>
      <c r="M157" s="1" t="s">
        <v>5998</v>
      </c>
      <c r="R157" s="1" t="b">
        <v>0</v>
      </c>
      <c r="S157" s="1">
        <v>0.0</v>
      </c>
      <c r="T157" s="1">
        <v>22.0</v>
      </c>
      <c r="U157" s="1" t="b">
        <v>0</v>
      </c>
      <c r="V157" s="1" t="s">
        <v>5126</v>
      </c>
      <c r="W157" s="1" t="s">
        <v>5993</v>
      </c>
      <c r="X157" s="1">
        <v>200.0</v>
      </c>
      <c r="Y157" s="1" t="s">
        <v>5075</v>
      </c>
      <c r="Z157" s="1" t="s">
        <v>5100</v>
      </c>
      <c r="AA157" s="1" t="s">
        <v>5989</v>
      </c>
      <c r="AG157" s="5">
        <v>43298.0</v>
      </c>
    </row>
    <row r="158">
      <c r="A158" s="1">
        <v>4020.0</v>
      </c>
      <c r="B158" s="1">
        <v>0.0</v>
      </c>
      <c r="C158" s="1" t="s">
        <v>5999</v>
      </c>
      <c r="D158" s="1" t="s">
        <v>5068</v>
      </c>
      <c r="F158" s="1" t="s">
        <v>6000</v>
      </c>
      <c r="G158" s="1" t="s">
        <v>5593</v>
      </c>
      <c r="H158" s="1" t="s">
        <v>5102</v>
      </c>
      <c r="I158" s="1" t="s">
        <v>18</v>
      </c>
      <c r="J158" s="1" t="s">
        <v>202</v>
      </c>
      <c r="K158" s="6" t="s">
        <v>6001</v>
      </c>
      <c r="L158" s="6" t="s">
        <v>6002</v>
      </c>
      <c r="M158" s="1" t="s">
        <v>6003</v>
      </c>
      <c r="R158" s="1" t="b">
        <v>0</v>
      </c>
      <c r="S158" s="1">
        <v>0.0</v>
      </c>
      <c r="U158" s="1" t="b">
        <v>0</v>
      </c>
      <c r="V158" s="1" t="s">
        <v>6004</v>
      </c>
      <c r="W158" s="1" t="s">
        <v>6005</v>
      </c>
      <c r="X158" s="1">
        <v>200.0</v>
      </c>
      <c r="AG158" s="5">
        <v>43035.0</v>
      </c>
    </row>
    <row r="159">
      <c r="A159" s="1">
        <v>172822.0</v>
      </c>
      <c r="B159" s="1">
        <v>0.0</v>
      </c>
      <c r="C159" s="1" t="s">
        <v>6006</v>
      </c>
      <c r="D159" s="1" t="s">
        <v>5081</v>
      </c>
      <c r="F159" s="1" t="s">
        <v>6007</v>
      </c>
      <c r="G159" s="1" t="s">
        <v>5593</v>
      </c>
      <c r="H159" s="1" t="s">
        <v>5102</v>
      </c>
      <c r="I159" s="1" t="s">
        <v>18</v>
      </c>
      <c r="J159" s="1" t="s">
        <v>202</v>
      </c>
      <c r="K159" s="6" t="s">
        <v>6008</v>
      </c>
      <c r="L159" s="6" t="s">
        <v>6009</v>
      </c>
      <c r="M159" s="1" t="s">
        <v>6010</v>
      </c>
      <c r="R159" s="1" t="b">
        <v>0</v>
      </c>
      <c r="S159" s="1">
        <v>0.0</v>
      </c>
      <c r="U159" s="1" t="b">
        <v>0</v>
      </c>
      <c r="V159" s="1" t="s">
        <v>6004</v>
      </c>
      <c r="W159" s="1" t="s">
        <v>6005</v>
      </c>
      <c r="X159" s="1">
        <v>200.0</v>
      </c>
      <c r="Y159" s="1" t="s">
        <v>5075</v>
      </c>
      <c r="AA159" s="1" t="s">
        <v>6000</v>
      </c>
      <c r="AG159" s="5">
        <v>43298.0</v>
      </c>
    </row>
    <row r="160">
      <c r="A160" s="1">
        <v>4070.0</v>
      </c>
      <c r="B160" s="1">
        <v>0.0</v>
      </c>
      <c r="C160" s="1" t="s">
        <v>800</v>
      </c>
      <c r="D160" s="1" t="s">
        <v>5068</v>
      </c>
      <c r="E160" s="5">
        <v>44540.0</v>
      </c>
      <c r="F160" s="1" t="s">
        <v>801</v>
      </c>
      <c r="G160" s="1" t="s">
        <v>6011</v>
      </c>
      <c r="H160" s="1" t="s">
        <v>5102</v>
      </c>
      <c r="I160" s="1" t="s">
        <v>18</v>
      </c>
      <c r="J160" s="1" t="s">
        <v>14</v>
      </c>
      <c r="K160" s="1" t="s">
        <v>5072</v>
      </c>
      <c r="L160" s="6" t="s">
        <v>6012</v>
      </c>
      <c r="M160" s="1" t="s">
        <v>6013</v>
      </c>
      <c r="O160" s="5">
        <v>41275.0</v>
      </c>
      <c r="R160" s="1" t="b">
        <v>0</v>
      </c>
      <c r="S160" s="1">
        <v>0.0</v>
      </c>
      <c r="U160" s="1" t="b">
        <v>0</v>
      </c>
      <c r="V160" s="1" t="s">
        <v>6014</v>
      </c>
      <c r="X160" s="1">
        <v>200.0</v>
      </c>
      <c r="Y160" s="1" t="s">
        <v>5075</v>
      </c>
      <c r="AG160" s="5">
        <v>43041.0</v>
      </c>
    </row>
    <row r="161">
      <c r="A161" s="1">
        <v>4072.0</v>
      </c>
      <c r="B161" s="1">
        <v>0.0</v>
      </c>
      <c r="C161" s="1" t="s">
        <v>6015</v>
      </c>
      <c r="D161" s="1" t="s">
        <v>5068</v>
      </c>
      <c r="F161" s="1" t="s">
        <v>6016</v>
      </c>
      <c r="G161" s="1" t="s">
        <v>6011</v>
      </c>
      <c r="H161" s="1" t="s">
        <v>5102</v>
      </c>
      <c r="I161" s="1" t="s">
        <v>18</v>
      </c>
      <c r="J161" s="1" t="s">
        <v>14</v>
      </c>
      <c r="K161" s="6" t="s">
        <v>6017</v>
      </c>
      <c r="L161" s="6" t="s">
        <v>6018</v>
      </c>
      <c r="M161" s="1" t="s">
        <v>6019</v>
      </c>
      <c r="R161" s="1" t="b">
        <v>0</v>
      </c>
      <c r="S161" s="1">
        <v>0.0</v>
      </c>
      <c r="T161" s="1">
        <v>4070.0</v>
      </c>
      <c r="U161" s="1" t="b">
        <v>0</v>
      </c>
      <c r="V161" s="1" t="s">
        <v>6020</v>
      </c>
      <c r="W161" s="1" t="s">
        <v>6021</v>
      </c>
      <c r="X161" s="1">
        <v>200.0</v>
      </c>
      <c r="Y161" s="1" t="s">
        <v>5075</v>
      </c>
      <c r="Z161" s="1" t="s">
        <v>801</v>
      </c>
      <c r="AG161" s="5">
        <v>43041.0</v>
      </c>
    </row>
    <row r="162">
      <c r="A162" s="1">
        <v>4113.0</v>
      </c>
      <c r="B162" s="1">
        <v>0.0</v>
      </c>
      <c r="C162" s="1" t="s">
        <v>6022</v>
      </c>
      <c r="D162" s="1" t="s">
        <v>5068</v>
      </c>
      <c r="F162" s="1" t="s">
        <v>6023</v>
      </c>
      <c r="G162" s="1" t="s">
        <v>26</v>
      </c>
      <c r="H162" s="1" t="s">
        <v>5102</v>
      </c>
      <c r="I162" s="1" t="s">
        <v>18</v>
      </c>
      <c r="J162" s="1" t="s">
        <v>5071</v>
      </c>
      <c r="K162" s="1" t="s">
        <v>5072</v>
      </c>
      <c r="L162" s="6" t="s">
        <v>6024</v>
      </c>
      <c r="M162" s="1" t="s">
        <v>6025</v>
      </c>
      <c r="O162" s="5">
        <v>40909.0</v>
      </c>
      <c r="R162" s="1" t="b">
        <v>0</v>
      </c>
      <c r="S162" s="1">
        <v>0.0</v>
      </c>
      <c r="T162" s="1">
        <v>4519.0</v>
      </c>
      <c r="U162" s="1" t="b">
        <v>0</v>
      </c>
      <c r="V162" s="1" t="s">
        <v>6026</v>
      </c>
      <c r="X162" s="1">
        <v>408.0</v>
      </c>
      <c r="Y162" s="1" t="s">
        <v>5075</v>
      </c>
      <c r="Z162" s="1" t="s">
        <v>6027</v>
      </c>
      <c r="AG162" s="5">
        <v>43047.0</v>
      </c>
    </row>
    <row r="163">
      <c r="A163" s="1">
        <v>172908.0</v>
      </c>
      <c r="B163" s="1">
        <v>0.0</v>
      </c>
      <c r="C163" s="1" t="s">
        <v>6028</v>
      </c>
      <c r="D163" s="1" t="s">
        <v>5081</v>
      </c>
      <c r="F163" s="1" t="s">
        <v>6029</v>
      </c>
      <c r="G163" s="1" t="s">
        <v>26</v>
      </c>
      <c r="H163" s="1" t="s">
        <v>5102</v>
      </c>
      <c r="I163" s="1" t="s">
        <v>18</v>
      </c>
      <c r="J163" s="1" t="s">
        <v>5071</v>
      </c>
      <c r="K163" s="1" t="s">
        <v>5072</v>
      </c>
      <c r="L163" s="6" t="s">
        <v>6030</v>
      </c>
      <c r="M163" s="1" t="s">
        <v>6031</v>
      </c>
      <c r="O163" s="5">
        <v>40909.0</v>
      </c>
      <c r="R163" s="1" t="b">
        <v>0</v>
      </c>
      <c r="S163" s="1">
        <v>0.0</v>
      </c>
      <c r="T163" s="1">
        <v>4519.0</v>
      </c>
      <c r="U163" s="1" t="b">
        <v>0</v>
      </c>
      <c r="V163" s="1" t="s">
        <v>6026</v>
      </c>
      <c r="X163" s="1">
        <v>408.0</v>
      </c>
      <c r="Z163" s="1" t="s">
        <v>6027</v>
      </c>
      <c r="AA163" s="1" t="s">
        <v>6023</v>
      </c>
      <c r="AG163" s="5">
        <v>43298.0</v>
      </c>
    </row>
    <row r="164">
      <c r="A164" s="1">
        <v>4130.0</v>
      </c>
      <c r="B164" s="1">
        <v>1.0</v>
      </c>
      <c r="C164" s="1" t="s">
        <v>434</v>
      </c>
      <c r="D164" s="1" t="s">
        <v>5068</v>
      </c>
      <c r="E164" s="5">
        <v>44720.0</v>
      </c>
      <c r="F164" s="1" t="s">
        <v>435</v>
      </c>
      <c r="G164" s="1" t="s">
        <v>26</v>
      </c>
      <c r="H164" s="1" t="s">
        <v>5102</v>
      </c>
      <c r="I164" s="1" t="s">
        <v>18</v>
      </c>
      <c r="J164" s="1" t="s">
        <v>5071</v>
      </c>
      <c r="K164" s="6" t="s">
        <v>6032</v>
      </c>
      <c r="L164" s="6" t="s">
        <v>6033</v>
      </c>
      <c r="M164" s="1" t="s">
        <v>6034</v>
      </c>
      <c r="O164" s="5">
        <v>31048.0</v>
      </c>
      <c r="R164" s="1" t="b">
        <v>0</v>
      </c>
      <c r="S164" s="1">
        <v>0.0</v>
      </c>
      <c r="U164" s="1" t="b">
        <v>0</v>
      </c>
      <c r="V164" s="1" t="s">
        <v>6035</v>
      </c>
      <c r="W164" s="1" t="s">
        <v>6036</v>
      </c>
      <c r="X164" s="1">
        <v>200.0</v>
      </c>
      <c r="Y164" s="1" t="s">
        <v>5142</v>
      </c>
      <c r="AC164" s="1" t="s">
        <v>5077</v>
      </c>
      <c r="AD164" s="1" t="s">
        <v>5093</v>
      </c>
      <c r="AG164" s="5">
        <v>43047.0</v>
      </c>
      <c r="AH164" s="1">
        <v>358205.0</v>
      </c>
    </row>
    <row r="165">
      <c r="A165" s="1">
        <v>172742.0</v>
      </c>
      <c r="B165" s="1">
        <v>1.0</v>
      </c>
      <c r="C165" s="1" t="s">
        <v>6037</v>
      </c>
      <c r="D165" s="1" t="s">
        <v>5081</v>
      </c>
      <c r="E165" s="5">
        <v>44720.0</v>
      </c>
      <c r="F165" s="1" t="s">
        <v>6038</v>
      </c>
      <c r="G165" s="1" t="s">
        <v>26</v>
      </c>
      <c r="H165" s="1" t="s">
        <v>5102</v>
      </c>
      <c r="I165" s="1" t="s">
        <v>18</v>
      </c>
      <c r="J165" s="1" t="s">
        <v>5071</v>
      </c>
      <c r="K165" s="6" t="s">
        <v>6039</v>
      </c>
      <c r="L165" s="6" t="s">
        <v>6040</v>
      </c>
      <c r="M165" s="1" t="s">
        <v>6041</v>
      </c>
      <c r="O165" s="5">
        <v>31048.0</v>
      </c>
      <c r="R165" s="1" t="b">
        <v>0</v>
      </c>
      <c r="S165" s="1">
        <v>0.0</v>
      </c>
      <c r="U165" s="1" t="b">
        <v>0</v>
      </c>
      <c r="V165" s="1" t="s">
        <v>6035</v>
      </c>
      <c r="W165" s="1" t="s">
        <v>6036</v>
      </c>
      <c r="X165" s="1">
        <v>200.0</v>
      </c>
      <c r="AA165" s="1" t="s">
        <v>435</v>
      </c>
      <c r="AG165" s="5">
        <v>43298.0</v>
      </c>
    </row>
    <row r="166">
      <c r="A166" s="1">
        <v>4131.0</v>
      </c>
      <c r="B166" s="1">
        <v>1.0</v>
      </c>
      <c r="C166" s="1" t="s">
        <v>6042</v>
      </c>
      <c r="D166" s="1" t="s">
        <v>5068</v>
      </c>
      <c r="F166" s="1" t="s">
        <v>6043</v>
      </c>
      <c r="G166" s="1" t="s">
        <v>26</v>
      </c>
      <c r="H166" s="1" t="s">
        <v>5102</v>
      </c>
      <c r="I166" s="1" t="s">
        <v>18</v>
      </c>
      <c r="J166" s="1" t="s">
        <v>5071</v>
      </c>
      <c r="K166" s="6" t="s">
        <v>6044</v>
      </c>
      <c r="L166" s="6" t="s">
        <v>6045</v>
      </c>
      <c r="M166" s="1" t="s">
        <v>6046</v>
      </c>
      <c r="O166" s="5">
        <v>30317.0</v>
      </c>
      <c r="R166" s="1" t="b">
        <v>0</v>
      </c>
      <c r="S166" s="1">
        <v>0.0</v>
      </c>
      <c r="T166" s="1">
        <v>4130.0</v>
      </c>
      <c r="U166" s="1" t="b">
        <v>0</v>
      </c>
      <c r="V166" s="1" t="s">
        <v>5119</v>
      </c>
      <c r="W166" s="1" t="s">
        <v>6047</v>
      </c>
      <c r="X166" s="1">
        <v>200.0</v>
      </c>
      <c r="Y166" s="1" t="s">
        <v>5142</v>
      </c>
      <c r="Z166" s="1" t="s">
        <v>435</v>
      </c>
      <c r="AC166" s="1" t="s">
        <v>5077</v>
      </c>
      <c r="AD166" s="1" t="s">
        <v>5093</v>
      </c>
      <c r="AG166" s="5">
        <v>43047.0</v>
      </c>
      <c r="AH166" s="1">
        <v>296957.0</v>
      </c>
    </row>
    <row r="167">
      <c r="A167" s="1">
        <v>172743.0</v>
      </c>
      <c r="B167" s="1">
        <v>1.0</v>
      </c>
      <c r="C167" s="1" t="s">
        <v>6048</v>
      </c>
      <c r="D167" s="1" t="s">
        <v>5081</v>
      </c>
      <c r="F167" s="1" t="s">
        <v>6049</v>
      </c>
      <c r="G167" s="1" t="s">
        <v>26</v>
      </c>
      <c r="H167" s="1" t="s">
        <v>5102</v>
      </c>
      <c r="I167" s="1" t="s">
        <v>18</v>
      </c>
      <c r="J167" s="1" t="s">
        <v>5071</v>
      </c>
      <c r="K167" s="6" t="s">
        <v>6050</v>
      </c>
      <c r="L167" s="6" t="s">
        <v>6051</v>
      </c>
      <c r="M167" s="1" t="s">
        <v>6052</v>
      </c>
      <c r="O167" s="5">
        <v>30317.0</v>
      </c>
      <c r="R167" s="1" t="b">
        <v>0</v>
      </c>
      <c r="S167" s="1">
        <v>0.0</v>
      </c>
      <c r="T167" s="1">
        <v>4130.0</v>
      </c>
      <c r="U167" s="1" t="b">
        <v>0</v>
      </c>
      <c r="V167" s="1" t="s">
        <v>5119</v>
      </c>
      <c r="W167" s="1" t="s">
        <v>6047</v>
      </c>
      <c r="X167" s="1">
        <v>200.0</v>
      </c>
      <c r="Z167" s="1" t="s">
        <v>435</v>
      </c>
      <c r="AA167" s="1" t="s">
        <v>6043</v>
      </c>
      <c r="AG167" s="5">
        <v>43298.0</v>
      </c>
    </row>
    <row r="168">
      <c r="A168" s="1">
        <v>4132.0</v>
      </c>
      <c r="B168" s="1">
        <v>1.0</v>
      </c>
      <c r="C168" s="1" t="s">
        <v>6053</v>
      </c>
      <c r="D168" s="1" t="s">
        <v>5068</v>
      </c>
      <c r="E168" s="5">
        <v>43698.0</v>
      </c>
      <c r="F168" s="1" t="s">
        <v>6054</v>
      </c>
      <c r="G168" s="1" t="s">
        <v>26</v>
      </c>
      <c r="H168" s="1" t="s">
        <v>5102</v>
      </c>
      <c r="I168" s="1" t="s">
        <v>18</v>
      </c>
      <c r="J168" s="1" t="s">
        <v>5071</v>
      </c>
      <c r="K168" s="6" t="s">
        <v>6055</v>
      </c>
      <c r="L168" s="6" t="s">
        <v>6056</v>
      </c>
      <c r="M168" s="1" t="s">
        <v>6057</v>
      </c>
      <c r="O168" s="5">
        <v>31048.0</v>
      </c>
      <c r="R168" s="1" t="b">
        <v>0</v>
      </c>
      <c r="S168" s="1">
        <v>0.0</v>
      </c>
      <c r="U168" s="1" t="b">
        <v>0</v>
      </c>
      <c r="V168" s="1" t="s">
        <v>5153</v>
      </c>
      <c r="W168" s="1" t="s">
        <v>6058</v>
      </c>
      <c r="X168" s="1">
        <v>200.0</v>
      </c>
      <c r="Y168" s="1" t="s">
        <v>5142</v>
      </c>
      <c r="AC168" s="1" t="s">
        <v>5077</v>
      </c>
      <c r="AD168" s="1" t="s">
        <v>5093</v>
      </c>
      <c r="AG168" s="5">
        <v>43047.0</v>
      </c>
      <c r="AH168" s="1">
        <v>161260.0</v>
      </c>
    </row>
    <row r="169">
      <c r="A169" s="1">
        <v>172744.0</v>
      </c>
      <c r="B169" s="1">
        <v>1.0</v>
      </c>
      <c r="C169" s="1" t="s">
        <v>6059</v>
      </c>
      <c r="D169" s="1" t="s">
        <v>5081</v>
      </c>
      <c r="E169" s="5">
        <v>43698.0</v>
      </c>
      <c r="F169" s="1" t="s">
        <v>6060</v>
      </c>
      <c r="G169" s="1" t="s">
        <v>26</v>
      </c>
      <c r="H169" s="1" t="s">
        <v>5102</v>
      </c>
      <c r="I169" s="1" t="s">
        <v>18</v>
      </c>
      <c r="J169" s="1" t="s">
        <v>5071</v>
      </c>
      <c r="K169" s="6" t="s">
        <v>6061</v>
      </c>
      <c r="L169" s="6" t="s">
        <v>6062</v>
      </c>
      <c r="M169" s="1" t="s">
        <v>6063</v>
      </c>
      <c r="O169" s="5">
        <v>31048.0</v>
      </c>
      <c r="R169" s="1" t="b">
        <v>0</v>
      </c>
      <c r="S169" s="1">
        <v>0.0</v>
      </c>
      <c r="U169" s="1" t="b">
        <v>0</v>
      </c>
      <c r="V169" s="1" t="s">
        <v>5153</v>
      </c>
      <c r="W169" s="1" t="s">
        <v>6058</v>
      </c>
      <c r="X169" s="1">
        <v>200.0</v>
      </c>
      <c r="AA169" s="1" t="s">
        <v>6054</v>
      </c>
      <c r="AG169" s="5">
        <v>43298.0</v>
      </c>
    </row>
    <row r="170">
      <c r="A170" s="1">
        <v>4138.0</v>
      </c>
      <c r="B170" s="1">
        <v>1.0</v>
      </c>
      <c r="C170" s="1" t="s">
        <v>6064</v>
      </c>
      <c r="D170" s="1" t="s">
        <v>5068</v>
      </c>
      <c r="E170" s="5">
        <v>43642.0</v>
      </c>
      <c r="F170" s="1" t="s">
        <v>6065</v>
      </c>
      <c r="G170" s="1" t="s">
        <v>26</v>
      </c>
      <c r="H170" s="1" t="s">
        <v>5102</v>
      </c>
      <c r="I170" s="1" t="s">
        <v>18</v>
      </c>
      <c r="J170" s="1" t="s">
        <v>5071</v>
      </c>
      <c r="K170" s="6" t="s">
        <v>6066</v>
      </c>
      <c r="L170" s="6" t="s">
        <v>6067</v>
      </c>
      <c r="M170" s="1" t="s">
        <v>6068</v>
      </c>
      <c r="O170" s="5">
        <v>31048.0</v>
      </c>
      <c r="R170" s="1" t="b">
        <v>0</v>
      </c>
      <c r="S170" s="1">
        <v>0.0</v>
      </c>
      <c r="U170" s="1" t="b">
        <v>0</v>
      </c>
      <c r="V170" s="1" t="s">
        <v>5153</v>
      </c>
      <c r="W170" s="1" t="s">
        <v>6069</v>
      </c>
      <c r="X170" s="1">
        <v>200.0</v>
      </c>
      <c r="Y170" s="1" t="s">
        <v>5075</v>
      </c>
      <c r="AC170" s="1" t="s">
        <v>5077</v>
      </c>
      <c r="AD170" s="1" t="s">
        <v>5093</v>
      </c>
      <c r="AG170" s="5">
        <v>43047.0</v>
      </c>
      <c r="AH170" s="1">
        <v>297053.0</v>
      </c>
    </row>
    <row r="171">
      <c r="A171" s="1">
        <v>172911.0</v>
      </c>
      <c r="B171" s="1">
        <v>1.0</v>
      </c>
      <c r="C171" s="1" t="s">
        <v>6070</v>
      </c>
      <c r="D171" s="1" t="s">
        <v>5081</v>
      </c>
      <c r="E171" s="5">
        <v>43642.0</v>
      </c>
      <c r="F171" s="1" t="s">
        <v>6071</v>
      </c>
      <c r="G171" s="1" t="s">
        <v>26</v>
      </c>
      <c r="H171" s="1" t="s">
        <v>5102</v>
      </c>
      <c r="I171" s="1" t="s">
        <v>18</v>
      </c>
      <c r="J171" s="1" t="s">
        <v>5071</v>
      </c>
      <c r="K171" s="6" t="s">
        <v>6072</v>
      </c>
      <c r="L171" s="6" t="s">
        <v>6073</v>
      </c>
      <c r="M171" s="1" t="s">
        <v>6074</v>
      </c>
      <c r="O171" s="5">
        <v>31048.0</v>
      </c>
      <c r="R171" s="1" t="b">
        <v>0</v>
      </c>
      <c r="S171" s="1">
        <v>0.0</v>
      </c>
      <c r="U171" s="1" t="b">
        <v>0</v>
      </c>
      <c r="V171" s="1" t="s">
        <v>5153</v>
      </c>
      <c r="W171" s="1" t="s">
        <v>6069</v>
      </c>
      <c r="X171" s="1">
        <v>200.0</v>
      </c>
      <c r="AA171" s="1" t="s">
        <v>6065</v>
      </c>
      <c r="AG171" s="5">
        <v>43298.0</v>
      </c>
    </row>
    <row r="172">
      <c r="A172" s="1">
        <v>4139.0</v>
      </c>
      <c r="B172" s="1">
        <v>1.0</v>
      </c>
      <c r="C172" s="1" t="s">
        <v>6075</v>
      </c>
      <c r="D172" s="1" t="s">
        <v>5068</v>
      </c>
      <c r="E172" s="5">
        <v>43698.0</v>
      </c>
      <c r="F172" s="1" t="s">
        <v>6076</v>
      </c>
      <c r="G172" s="1" t="s">
        <v>26</v>
      </c>
      <c r="H172" s="1" t="s">
        <v>5102</v>
      </c>
      <c r="I172" s="1" t="s">
        <v>18</v>
      </c>
      <c r="J172" s="1" t="s">
        <v>5071</v>
      </c>
      <c r="K172" s="6" t="s">
        <v>6077</v>
      </c>
      <c r="L172" s="6" t="s">
        <v>6078</v>
      </c>
      <c r="M172" s="1" t="s">
        <v>6079</v>
      </c>
      <c r="O172" s="5">
        <v>31048.0</v>
      </c>
      <c r="R172" s="1" t="b">
        <v>0</v>
      </c>
      <c r="S172" s="1">
        <v>0.0</v>
      </c>
      <c r="U172" s="1" t="b">
        <v>0</v>
      </c>
      <c r="V172" s="1" t="s">
        <v>5153</v>
      </c>
      <c r="W172" s="1" t="s">
        <v>6080</v>
      </c>
      <c r="X172" s="1">
        <v>200.0</v>
      </c>
      <c r="Y172" s="1" t="s">
        <v>5075</v>
      </c>
      <c r="AC172" s="1" t="s">
        <v>5077</v>
      </c>
      <c r="AD172" s="1" t="s">
        <v>5093</v>
      </c>
      <c r="AG172" s="5">
        <v>43047.0</v>
      </c>
      <c r="AH172" s="1">
        <v>297054.0</v>
      </c>
    </row>
    <row r="173">
      <c r="A173" s="1">
        <v>172912.0</v>
      </c>
      <c r="B173" s="1">
        <v>1.0</v>
      </c>
      <c r="C173" s="1" t="s">
        <v>6081</v>
      </c>
      <c r="D173" s="1" t="s">
        <v>5081</v>
      </c>
      <c r="E173" s="5">
        <v>43698.0</v>
      </c>
      <c r="F173" s="1" t="s">
        <v>6082</v>
      </c>
      <c r="G173" s="1" t="s">
        <v>26</v>
      </c>
      <c r="H173" s="1" t="s">
        <v>5102</v>
      </c>
      <c r="I173" s="1" t="s">
        <v>18</v>
      </c>
      <c r="J173" s="1" t="s">
        <v>5071</v>
      </c>
      <c r="K173" s="6" t="s">
        <v>6083</v>
      </c>
      <c r="L173" s="6" t="s">
        <v>6084</v>
      </c>
      <c r="M173" s="1" t="s">
        <v>6085</v>
      </c>
      <c r="O173" s="5">
        <v>31048.0</v>
      </c>
      <c r="R173" s="1" t="b">
        <v>0</v>
      </c>
      <c r="S173" s="1">
        <v>0.0</v>
      </c>
      <c r="U173" s="1" t="b">
        <v>0</v>
      </c>
      <c r="V173" s="1" t="s">
        <v>5153</v>
      </c>
      <c r="W173" s="1" t="s">
        <v>6080</v>
      </c>
      <c r="X173" s="1">
        <v>200.0</v>
      </c>
      <c r="AA173" s="1" t="s">
        <v>6076</v>
      </c>
      <c r="AG173" s="5">
        <v>43298.0</v>
      </c>
    </row>
    <row r="174">
      <c r="A174" s="1">
        <v>4155.0</v>
      </c>
      <c r="B174" s="1">
        <v>0.0</v>
      </c>
      <c r="C174" s="1" t="s">
        <v>6086</v>
      </c>
      <c r="D174" s="1" t="s">
        <v>5068</v>
      </c>
      <c r="E174" s="5">
        <v>43922.0</v>
      </c>
      <c r="F174" s="1" t="s">
        <v>6087</v>
      </c>
      <c r="G174" s="1" t="s">
        <v>26</v>
      </c>
      <c r="H174" s="1" t="s">
        <v>5102</v>
      </c>
      <c r="I174" s="1" t="s">
        <v>18</v>
      </c>
      <c r="J174" s="1" t="s">
        <v>5071</v>
      </c>
      <c r="K174" s="6" t="s">
        <v>6088</v>
      </c>
      <c r="L174" s="6" t="s">
        <v>6089</v>
      </c>
      <c r="M174" s="1" t="s">
        <v>6090</v>
      </c>
      <c r="O174" s="5">
        <v>30317.0</v>
      </c>
      <c r="R174" s="1" t="b">
        <v>0</v>
      </c>
      <c r="S174" s="1">
        <v>0.0</v>
      </c>
      <c r="T174" s="1">
        <v>3756.0</v>
      </c>
      <c r="U174" s="1" t="b">
        <v>0</v>
      </c>
      <c r="V174" s="1" t="s">
        <v>5372</v>
      </c>
      <c r="W174" s="1" t="s">
        <v>6091</v>
      </c>
      <c r="X174" s="1">
        <v>200.0</v>
      </c>
      <c r="Y174" s="1" t="s">
        <v>5075</v>
      </c>
      <c r="Z174" s="1" t="s">
        <v>5076</v>
      </c>
      <c r="AG174" s="5">
        <v>43047.0</v>
      </c>
    </row>
    <row r="175">
      <c r="A175" s="1">
        <v>173106.0</v>
      </c>
      <c r="B175" s="1">
        <v>0.0</v>
      </c>
      <c r="C175" s="1" t="s">
        <v>6092</v>
      </c>
      <c r="D175" s="1" t="s">
        <v>5081</v>
      </c>
      <c r="E175" s="5">
        <v>43922.0</v>
      </c>
      <c r="F175" s="1" t="s">
        <v>6093</v>
      </c>
      <c r="G175" s="1" t="s">
        <v>26</v>
      </c>
      <c r="H175" s="1" t="s">
        <v>5102</v>
      </c>
      <c r="I175" s="1" t="s">
        <v>18</v>
      </c>
      <c r="J175" s="1" t="s">
        <v>5071</v>
      </c>
      <c r="K175" s="6" t="s">
        <v>6094</v>
      </c>
      <c r="L175" s="6" t="s">
        <v>6095</v>
      </c>
      <c r="M175" s="1" t="s">
        <v>6096</v>
      </c>
      <c r="O175" s="5">
        <v>30317.0</v>
      </c>
      <c r="R175" s="1" t="b">
        <v>0</v>
      </c>
      <c r="S175" s="1">
        <v>0.0</v>
      </c>
      <c r="T175" s="1">
        <v>3756.0</v>
      </c>
      <c r="U175" s="1" t="b">
        <v>0</v>
      </c>
      <c r="V175" s="1" t="s">
        <v>5372</v>
      </c>
      <c r="W175" s="1" t="s">
        <v>6091</v>
      </c>
      <c r="X175" s="1">
        <v>200.0</v>
      </c>
      <c r="Z175" s="1" t="s">
        <v>5076</v>
      </c>
      <c r="AA175" s="1" t="s">
        <v>6087</v>
      </c>
      <c r="AG175" s="5">
        <v>43298.0</v>
      </c>
    </row>
    <row r="176">
      <c r="A176" s="1">
        <v>4157.0</v>
      </c>
      <c r="B176" s="1">
        <v>0.0</v>
      </c>
      <c r="C176" s="1" t="s">
        <v>788</v>
      </c>
      <c r="D176" s="1" t="s">
        <v>5068</v>
      </c>
      <c r="E176" s="5">
        <v>44524.0</v>
      </c>
      <c r="F176" s="1" t="s">
        <v>789</v>
      </c>
      <c r="G176" s="1" t="s">
        <v>6097</v>
      </c>
      <c r="H176" s="1" t="s">
        <v>5102</v>
      </c>
      <c r="I176" s="1" t="s">
        <v>18</v>
      </c>
      <c r="J176" s="1" t="s">
        <v>5071</v>
      </c>
      <c r="K176" s="6" t="s">
        <v>6098</v>
      </c>
      <c r="L176" s="6" t="s">
        <v>6099</v>
      </c>
      <c r="M176" s="1" t="s">
        <v>6100</v>
      </c>
      <c r="O176" s="5">
        <v>41640.0</v>
      </c>
      <c r="R176" s="1" t="b">
        <v>0</v>
      </c>
      <c r="S176" s="1">
        <v>0.0</v>
      </c>
      <c r="T176" s="1">
        <v>384.0</v>
      </c>
      <c r="U176" s="1" t="b">
        <v>0</v>
      </c>
      <c r="V176" s="1" t="s">
        <v>6101</v>
      </c>
      <c r="W176" s="1" t="s">
        <v>6102</v>
      </c>
      <c r="X176" s="1">
        <v>200.0</v>
      </c>
      <c r="Y176" s="1" t="s">
        <v>5075</v>
      </c>
      <c r="Z176" s="1" t="s">
        <v>6103</v>
      </c>
      <c r="AG176" s="5">
        <v>43047.0</v>
      </c>
    </row>
    <row r="177">
      <c r="A177" s="1">
        <v>172762.0</v>
      </c>
      <c r="B177" s="1">
        <v>0.0</v>
      </c>
      <c r="C177" s="1" t="s">
        <v>6104</v>
      </c>
      <c r="D177" s="1" t="s">
        <v>5081</v>
      </c>
      <c r="E177" s="5">
        <v>44524.0</v>
      </c>
      <c r="F177" s="1" t="s">
        <v>6105</v>
      </c>
      <c r="G177" s="1" t="s">
        <v>6097</v>
      </c>
      <c r="H177" s="1" t="s">
        <v>5102</v>
      </c>
      <c r="I177" s="1" t="s">
        <v>18</v>
      </c>
      <c r="J177" s="1" t="s">
        <v>5071</v>
      </c>
      <c r="K177" s="6" t="s">
        <v>6106</v>
      </c>
      <c r="L177" s="6" t="s">
        <v>6107</v>
      </c>
      <c r="M177" s="1" t="s">
        <v>6108</v>
      </c>
      <c r="O177" s="5">
        <v>41640.0</v>
      </c>
      <c r="R177" s="1" t="b">
        <v>0</v>
      </c>
      <c r="S177" s="1">
        <v>0.0</v>
      </c>
      <c r="T177" s="1">
        <v>384.0</v>
      </c>
      <c r="U177" s="1" t="b">
        <v>0</v>
      </c>
      <c r="V177" s="1" t="s">
        <v>6101</v>
      </c>
      <c r="W177" s="1" t="s">
        <v>6102</v>
      </c>
      <c r="X177" s="1">
        <v>200.0</v>
      </c>
      <c r="Y177" s="1" t="s">
        <v>5075</v>
      </c>
      <c r="Z177" s="1" t="s">
        <v>6103</v>
      </c>
      <c r="AA177" s="1" t="s">
        <v>789</v>
      </c>
      <c r="AG177" s="5">
        <v>43298.0</v>
      </c>
    </row>
    <row r="178">
      <c r="A178" s="1">
        <v>4160.0</v>
      </c>
      <c r="B178" s="1">
        <v>0.0</v>
      </c>
      <c r="C178" s="1" t="s">
        <v>6109</v>
      </c>
      <c r="D178" s="1" t="s">
        <v>5068</v>
      </c>
      <c r="F178" s="1" t="s">
        <v>6110</v>
      </c>
      <c r="G178" s="1" t="s">
        <v>5899</v>
      </c>
      <c r="H178" s="1" t="s">
        <v>5102</v>
      </c>
      <c r="I178" s="1" t="s">
        <v>18</v>
      </c>
      <c r="J178" s="1" t="s">
        <v>5071</v>
      </c>
      <c r="K178" s="6" t="s">
        <v>6111</v>
      </c>
      <c r="L178" s="6" t="s">
        <v>6112</v>
      </c>
      <c r="M178" s="1" t="s">
        <v>6113</v>
      </c>
      <c r="O178" s="5">
        <v>35065.0</v>
      </c>
      <c r="R178" s="1" t="b">
        <v>0</v>
      </c>
      <c r="S178" s="1">
        <v>0.0</v>
      </c>
      <c r="T178" s="1">
        <v>3756.0</v>
      </c>
      <c r="U178" s="1" t="b">
        <v>0</v>
      </c>
      <c r="V178" s="1" t="s">
        <v>5153</v>
      </c>
      <c r="W178" s="1" t="s">
        <v>6114</v>
      </c>
      <c r="X178" s="1">
        <v>200.0</v>
      </c>
      <c r="Y178" s="1" t="s">
        <v>5075</v>
      </c>
      <c r="Z178" s="1" t="s">
        <v>5076</v>
      </c>
      <c r="AC178" s="1" t="s">
        <v>5077</v>
      </c>
      <c r="AD178" s="1" t="s">
        <v>5093</v>
      </c>
      <c r="AG178" s="5">
        <v>43047.0</v>
      </c>
      <c r="AH178" s="1">
        <v>155871.0</v>
      </c>
    </row>
    <row r="179">
      <c r="A179" s="1">
        <v>173102.0</v>
      </c>
      <c r="B179" s="1">
        <v>0.0</v>
      </c>
      <c r="C179" s="1" t="s">
        <v>6115</v>
      </c>
      <c r="D179" s="1" t="s">
        <v>5081</v>
      </c>
      <c r="F179" s="1" t="s">
        <v>6116</v>
      </c>
      <c r="G179" s="1" t="s">
        <v>5899</v>
      </c>
      <c r="H179" s="1" t="s">
        <v>5102</v>
      </c>
      <c r="I179" s="1" t="s">
        <v>18</v>
      </c>
      <c r="J179" s="1" t="s">
        <v>5071</v>
      </c>
      <c r="K179" s="6" t="s">
        <v>6117</v>
      </c>
      <c r="L179" s="6" t="s">
        <v>6118</v>
      </c>
      <c r="M179" s="1" t="s">
        <v>6119</v>
      </c>
      <c r="O179" s="5">
        <v>35065.0</v>
      </c>
      <c r="R179" s="1" t="b">
        <v>0</v>
      </c>
      <c r="S179" s="1">
        <v>0.0</v>
      </c>
      <c r="T179" s="1">
        <v>3756.0</v>
      </c>
      <c r="U179" s="1" t="b">
        <v>0</v>
      </c>
      <c r="V179" s="1" t="s">
        <v>5153</v>
      </c>
      <c r="W179" s="1" t="s">
        <v>6114</v>
      </c>
      <c r="X179" s="1">
        <v>200.0</v>
      </c>
      <c r="Z179" s="1" t="s">
        <v>5076</v>
      </c>
      <c r="AA179" s="1" t="s">
        <v>6110</v>
      </c>
      <c r="AG179" s="5">
        <v>43298.0</v>
      </c>
    </row>
    <row r="180">
      <c r="A180" s="1">
        <v>4168.0</v>
      </c>
      <c r="B180" s="1">
        <v>0.0</v>
      </c>
      <c r="C180" s="1" t="s">
        <v>6120</v>
      </c>
      <c r="D180" s="1" t="s">
        <v>5068</v>
      </c>
      <c r="F180" s="1" t="s">
        <v>6121</v>
      </c>
      <c r="G180" s="1" t="s">
        <v>6122</v>
      </c>
      <c r="H180" s="1" t="s">
        <v>5102</v>
      </c>
      <c r="I180" s="1" t="s">
        <v>18</v>
      </c>
      <c r="J180" s="1" t="s">
        <v>5071</v>
      </c>
      <c r="K180" s="1" t="s">
        <v>5072</v>
      </c>
      <c r="L180" s="6" t="s">
        <v>6123</v>
      </c>
      <c r="M180" s="1" t="s">
        <v>6124</v>
      </c>
      <c r="O180" s="5">
        <v>41640.0</v>
      </c>
      <c r="R180" s="1" t="b">
        <v>0</v>
      </c>
      <c r="S180" s="1">
        <v>0.0</v>
      </c>
      <c r="U180" s="1" t="b">
        <v>0</v>
      </c>
      <c r="V180" s="1" t="s">
        <v>6125</v>
      </c>
      <c r="X180" s="1">
        <v>408.0</v>
      </c>
      <c r="Y180" s="1" t="s">
        <v>5075</v>
      </c>
      <c r="AG180" s="5">
        <v>43047.0</v>
      </c>
    </row>
    <row r="181">
      <c r="A181" s="1">
        <v>172774.0</v>
      </c>
      <c r="B181" s="1">
        <v>0.0</v>
      </c>
      <c r="C181" s="1" t="s">
        <v>6126</v>
      </c>
      <c r="D181" s="1" t="s">
        <v>5081</v>
      </c>
      <c r="F181" s="1" t="s">
        <v>6127</v>
      </c>
      <c r="G181" s="1" t="s">
        <v>6122</v>
      </c>
      <c r="H181" s="1" t="s">
        <v>5102</v>
      </c>
      <c r="I181" s="1" t="s">
        <v>18</v>
      </c>
      <c r="J181" s="1" t="s">
        <v>5071</v>
      </c>
      <c r="K181" s="1" t="s">
        <v>5072</v>
      </c>
      <c r="L181" s="6" t="s">
        <v>6128</v>
      </c>
      <c r="M181" s="1" t="s">
        <v>6129</v>
      </c>
      <c r="O181" s="5">
        <v>41640.0</v>
      </c>
      <c r="R181" s="1" t="b">
        <v>0</v>
      </c>
      <c r="S181" s="1">
        <v>0.0</v>
      </c>
      <c r="U181" s="1" t="b">
        <v>0</v>
      </c>
      <c r="V181" s="1" t="s">
        <v>6125</v>
      </c>
      <c r="X181" s="1">
        <v>408.0</v>
      </c>
      <c r="Y181" s="1" t="s">
        <v>5075</v>
      </c>
      <c r="AA181" s="1" t="s">
        <v>6121</v>
      </c>
      <c r="AG181" s="5">
        <v>43298.0</v>
      </c>
    </row>
    <row r="182">
      <c r="A182" s="1">
        <v>4183.0</v>
      </c>
      <c r="B182" s="1">
        <v>1.0</v>
      </c>
      <c r="C182" s="1" t="s">
        <v>519</v>
      </c>
      <c r="D182" s="1" t="s">
        <v>5068</v>
      </c>
      <c r="E182" s="5">
        <v>44692.0</v>
      </c>
      <c r="F182" s="1" t="s">
        <v>520</v>
      </c>
      <c r="G182" s="1" t="s">
        <v>26</v>
      </c>
      <c r="H182" s="1" t="s">
        <v>5102</v>
      </c>
      <c r="I182" s="1" t="s">
        <v>18</v>
      </c>
      <c r="J182" s="1" t="s">
        <v>5071</v>
      </c>
      <c r="K182" s="6" t="s">
        <v>6130</v>
      </c>
      <c r="L182" s="6" t="s">
        <v>6131</v>
      </c>
      <c r="M182" s="1" t="s">
        <v>6132</v>
      </c>
      <c r="O182" s="5">
        <v>31778.0</v>
      </c>
      <c r="R182" s="1" t="b">
        <v>0</v>
      </c>
      <c r="S182" s="1">
        <v>0.0</v>
      </c>
      <c r="T182" s="1">
        <v>84.0</v>
      </c>
      <c r="U182" s="1" t="b">
        <v>0</v>
      </c>
      <c r="V182" s="1" t="s">
        <v>5366</v>
      </c>
      <c r="W182" s="1" t="s">
        <v>6133</v>
      </c>
      <c r="X182" s="1">
        <v>200.0</v>
      </c>
      <c r="Y182" s="1" t="s">
        <v>5142</v>
      </c>
      <c r="Z182" s="1" t="s">
        <v>2411</v>
      </c>
      <c r="AC182" s="1" t="s">
        <v>5077</v>
      </c>
      <c r="AD182" s="1" t="s">
        <v>5093</v>
      </c>
      <c r="AG182" s="5">
        <v>43047.0</v>
      </c>
      <c r="AH182" s="1">
        <v>348202.0</v>
      </c>
    </row>
    <row r="183">
      <c r="A183" s="1">
        <v>172794.0</v>
      </c>
      <c r="B183" s="1">
        <v>1.0</v>
      </c>
      <c r="C183" s="1" t="s">
        <v>6134</v>
      </c>
      <c r="D183" s="1" t="s">
        <v>5081</v>
      </c>
      <c r="E183" s="5">
        <v>44692.0</v>
      </c>
      <c r="F183" s="1" t="s">
        <v>6135</v>
      </c>
      <c r="G183" s="1" t="s">
        <v>26</v>
      </c>
      <c r="H183" s="1" t="s">
        <v>5102</v>
      </c>
      <c r="I183" s="1" t="s">
        <v>18</v>
      </c>
      <c r="J183" s="1" t="s">
        <v>5071</v>
      </c>
      <c r="K183" s="1" t="s">
        <v>5072</v>
      </c>
      <c r="L183" s="6" t="s">
        <v>6136</v>
      </c>
      <c r="M183" s="1" t="s">
        <v>6137</v>
      </c>
      <c r="O183" s="5">
        <v>31778.0</v>
      </c>
      <c r="R183" s="1" t="b">
        <v>0</v>
      </c>
      <c r="S183" s="1">
        <v>0.0</v>
      </c>
      <c r="T183" s="1">
        <v>84.0</v>
      </c>
      <c r="U183" s="1" t="b">
        <v>0</v>
      </c>
      <c r="V183" s="1" t="s">
        <v>5366</v>
      </c>
      <c r="W183" s="1" t="s">
        <v>6133</v>
      </c>
      <c r="X183" s="1">
        <v>408.0</v>
      </c>
      <c r="Z183" s="1" t="s">
        <v>2411</v>
      </c>
      <c r="AA183" s="1" t="s">
        <v>520</v>
      </c>
      <c r="AG183" s="5">
        <v>43298.0</v>
      </c>
    </row>
    <row r="184">
      <c r="A184" s="1">
        <v>4205.0</v>
      </c>
      <c r="B184" s="1">
        <v>0.0</v>
      </c>
      <c r="C184" s="1" t="s">
        <v>6138</v>
      </c>
      <c r="D184" s="1" t="s">
        <v>5068</v>
      </c>
      <c r="F184" s="1" t="s">
        <v>6139</v>
      </c>
      <c r="G184" s="1" t="s">
        <v>5368</v>
      </c>
      <c r="H184" s="1" t="s">
        <v>5102</v>
      </c>
      <c r="I184" s="1" t="s">
        <v>18</v>
      </c>
      <c r="J184" s="1" t="s">
        <v>5071</v>
      </c>
      <c r="K184" s="6" t="s">
        <v>6140</v>
      </c>
      <c r="L184" s="6" t="s">
        <v>6141</v>
      </c>
      <c r="M184" s="1" t="s">
        <v>6142</v>
      </c>
      <c r="R184" s="1" t="b">
        <v>0</v>
      </c>
      <c r="S184" s="1">
        <v>0.0</v>
      </c>
      <c r="T184" s="1">
        <v>82.0</v>
      </c>
      <c r="U184" s="1" t="b">
        <v>0</v>
      </c>
      <c r="V184" s="1" t="s">
        <v>6143</v>
      </c>
      <c r="W184" s="1" t="s">
        <v>6144</v>
      </c>
      <c r="X184" s="1">
        <v>200.0</v>
      </c>
      <c r="Y184" s="1" t="s">
        <v>5075</v>
      </c>
      <c r="Z184" s="1" t="s">
        <v>6145</v>
      </c>
      <c r="AG184" s="5">
        <v>43047.0</v>
      </c>
    </row>
    <row r="185">
      <c r="A185" s="1">
        <v>172930.0</v>
      </c>
      <c r="B185" s="1">
        <v>0.0</v>
      </c>
      <c r="C185" s="1" t="s">
        <v>6146</v>
      </c>
      <c r="D185" s="1" t="s">
        <v>5081</v>
      </c>
      <c r="F185" s="1" t="s">
        <v>6147</v>
      </c>
      <c r="G185" s="1" t="s">
        <v>5368</v>
      </c>
      <c r="H185" s="1" t="s">
        <v>5102</v>
      </c>
      <c r="I185" s="1" t="s">
        <v>18</v>
      </c>
      <c r="J185" s="1" t="s">
        <v>5071</v>
      </c>
      <c r="K185" s="6" t="s">
        <v>6148</v>
      </c>
      <c r="L185" s="6" t="s">
        <v>6141</v>
      </c>
      <c r="M185" s="1" t="s">
        <v>6149</v>
      </c>
      <c r="R185" s="1" t="b">
        <v>0</v>
      </c>
      <c r="S185" s="1">
        <v>0.0</v>
      </c>
      <c r="T185" s="1">
        <v>82.0</v>
      </c>
      <c r="U185" s="1" t="b">
        <v>0</v>
      </c>
      <c r="V185" s="1" t="s">
        <v>6143</v>
      </c>
      <c r="W185" s="1" t="s">
        <v>6144</v>
      </c>
      <c r="X185" s="1">
        <v>200.0</v>
      </c>
      <c r="Z185" s="1" t="s">
        <v>6145</v>
      </c>
      <c r="AA185" s="1" t="s">
        <v>6139</v>
      </c>
      <c r="AG185" s="5">
        <v>43298.0</v>
      </c>
    </row>
    <row r="186">
      <c r="A186" s="1">
        <v>4226.0</v>
      </c>
      <c r="B186" s="1">
        <v>0.0</v>
      </c>
      <c r="C186" s="1" t="s">
        <v>6150</v>
      </c>
      <c r="D186" s="1" t="s">
        <v>5068</v>
      </c>
      <c r="F186" s="1" t="s">
        <v>6151</v>
      </c>
      <c r="G186" s="1" t="s">
        <v>26</v>
      </c>
      <c r="H186" s="1" t="s">
        <v>5102</v>
      </c>
      <c r="I186" s="1" t="s">
        <v>18</v>
      </c>
      <c r="J186" s="1" t="s">
        <v>5071</v>
      </c>
      <c r="K186" s="6" t="s">
        <v>6152</v>
      </c>
      <c r="L186" s="6" t="s">
        <v>6153</v>
      </c>
      <c r="M186" s="1" t="s">
        <v>6154</v>
      </c>
      <c r="O186" s="5">
        <v>42370.0</v>
      </c>
      <c r="R186" s="1" t="b">
        <v>0</v>
      </c>
      <c r="S186" s="1">
        <v>0.0</v>
      </c>
      <c r="T186" s="1">
        <v>4130.0</v>
      </c>
      <c r="U186" s="1" t="b">
        <v>0</v>
      </c>
      <c r="V186" s="1" t="s">
        <v>6155</v>
      </c>
      <c r="W186" s="1" t="s">
        <v>6156</v>
      </c>
      <c r="X186" s="1">
        <v>200.0</v>
      </c>
      <c r="Y186" s="1" t="s">
        <v>5075</v>
      </c>
      <c r="Z186" s="1" t="s">
        <v>435</v>
      </c>
      <c r="AG186" s="5">
        <v>43047.0</v>
      </c>
    </row>
    <row r="187">
      <c r="A187" s="1">
        <v>172900.0</v>
      </c>
      <c r="B187" s="1">
        <v>0.0</v>
      </c>
      <c r="C187" s="1" t="s">
        <v>6157</v>
      </c>
      <c r="D187" s="1" t="s">
        <v>5081</v>
      </c>
      <c r="F187" s="1" t="s">
        <v>6158</v>
      </c>
      <c r="G187" s="1" t="s">
        <v>26</v>
      </c>
      <c r="H187" s="1" t="s">
        <v>5102</v>
      </c>
      <c r="I187" s="1" t="s">
        <v>18</v>
      </c>
      <c r="J187" s="1" t="s">
        <v>5071</v>
      </c>
      <c r="K187" s="6" t="s">
        <v>6159</v>
      </c>
      <c r="L187" s="6" t="s">
        <v>6160</v>
      </c>
      <c r="M187" s="1" t="s">
        <v>6161</v>
      </c>
      <c r="O187" s="5">
        <v>42370.0</v>
      </c>
      <c r="R187" s="1" t="b">
        <v>0</v>
      </c>
      <c r="S187" s="1">
        <v>0.0</v>
      </c>
      <c r="T187" s="1">
        <v>4130.0</v>
      </c>
      <c r="U187" s="1" t="b">
        <v>0</v>
      </c>
      <c r="V187" s="1" t="s">
        <v>6155</v>
      </c>
      <c r="W187" s="1" t="s">
        <v>6156</v>
      </c>
      <c r="X187" s="1">
        <v>200.0</v>
      </c>
      <c r="Z187" s="1" t="s">
        <v>435</v>
      </c>
      <c r="AA187" s="1" t="s">
        <v>6151</v>
      </c>
      <c r="AG187" s="5">
        <v>43298.0</v>
      </c>
    </row>
    <row r="188">
      <c r="A188" s="1">
        <v>4227.0</v>
      </c>
      <c r="B188" s="1">
        <v>0.0</v>
      </c>
      <c r="C188" s="1" t="s">
        <v>6162</v>
      </c>
      <c r="D188" s="1" t="s">
        <v>5068</v>
      </c>
      <c r="F188" s="1" t="s">
        <v>6163</v>
      </c>
      <c r="G188" s="1" t="s">
        <v>5574</v>
      </c>
      <c r="H188" s="1" t="s">
        <v>5102</v>
      </c>
      <c r="I188" s="1" t="s">
        <v>18</v>
      </c>
      <c r="J188" s="1" t="s">
        <v>5071</v>
      </c>
      <c r="K188" s="6" t="s">
        <v>6164</v>
      </c>
      <c r="L188" s="6" t="s">
        <v>6165</v>
      </c>
      <c r="M188" s="1" t="s">
        <v>6166</v>
      </c>
      <c r="O188" s="5">
        <v>42370.0</v>
      </c>
      <c r="R188" s="1" t="b">
        <v>0</v>
      </c>
      <c r="S188" s="1">
        <v>0.0</v>
      </c>
      <c r="T188" s="1">
        <v>4130.0</v>
      </c>
      <c r="U188" s="1" t="b">
        <v>0</v>
      </c>
      <c r="V188" s="1" t="s">
        <v>6167</v>
      </c>
      <c r="W188" s="1" t="s">
        <v>6168</v>
      </c>
      <c r="X188" s="1">
        <v>200.0</v>
      </c>
      <c r="Y188" s="1" t="s">
        <v>5075</v>
      </c>
      <c r="Z188" s="1" t="s">
        <v>435</v>
      </c>
      <c r="AG188" s="5">
        <v>43047.0</v>
      </c>
    </row>
    <row r="189">
      <c r="A189" s="1">
        <v>172901.0</v>
      </c>
      <c r="B189" s="1">
        <v>0.0</v>
      </c>
      <c r="C189" s="1" t="s">
        <v>6169</v>
      </c>
      <c r="D189" s="1" t="s">
        <v>5081</v>
      </c>
      <c r="F189" s="1" t="s">
        <v>6170</v>
      </c>
      <c r="G189" s="1" t="s">
        <v>5574</v>
      </c>
      <c r="H189" s="1" t="s">
        <v>5102</v>
      </c>
      <c r="I189" s="1" t="s">
        <v>18</v>
      </c>
      <c r="J189" s="1" t="s">
        <v>5071</v>
      </c>
      <c r="K189" s="6" t="s">
        <v>6171</v>
      </c>
      <c r="L189" s="6" t="s">
        <v>6172</v>
      </c>
      <c r="M189" s="1" t="s">
        <v>6173</v>
      </c>
      <c r="O189" s="5">
        <v>42370.0</v>
      </c>
      <c r="R189" s="1" t="b">
        <v>0</v>
      </c>
      <c r="S189" s="1">
        <v>0.0</v>
      </c>
      <c r="T189" s="1">
        <v>4130.0</v>
      </c>
      <c r="U189" s="1" t="b">
        <v>0</v>
      </c>
      <c r="V189" s="1" t="s">
        <v>6167</v>
      </c>
      <c r="W189" s="1" t="s">
        <v>6168</v>
      </c>
      <c r="X189" s="1">
        <v>200.0</v>
      </c>
      <c r="Z189" s="1" t="s">
        <v>435</v>
      </c>
      <c r="AA189" s="1" t="s">
        <v>6163</v>
      </c>
      <c r="AG189" s="5">
        <v>43298.0</v>
      </c>
    </row>
    <row r="190">
      <c r="A190" s="1">
        <v>4231.0</v>
      </c>
      <c r="B190" s="1">
        <v>0.0</v>
      </c>
      <c r="C190" s="1" t="s">
        <v>6174</v>
      </c>
      <c r="D190" s="1" t="s">
        <v>5068</v>
      </c>
      <c r="E190" s="5">
        <v>44132.0</v>
      </c>
      <c r="F190" s="1" t="s">
        <v>6175</v>
      </c>
      <c r="G190" s="1" t="s">
        <v>6176</v>
      </c>
      <c r="H190" s="1" t="s">
        <v>5102</v>
      </c>
      <c r="I190" s="1" t="s">
        <v>18</v>
      </c>
      <c r="J190" s="1" t="s">
        <v>5071</v>
      </c>
      <c r="K190" s="6" t="s">
        <v>6177</v>
      </c>
      <c r="L190" s="6" t="s">
        <v>6178</v>
      </c>
      <c r="M190" s="1" t="s">
        <v>6179</v>
      </c>
      <c r="O190" s="5">
        <v>30317.0</v>
      </c>
      <c r="R190" s="1" t="b">
        <v>0</v>
      </c>
      <c r="S190" s="1">
        <v>0.0</v>
      </c>
      <c r="U190" s="1" t="b">
        <v>0</v>
      </c>
      <c r="V190" s="1" t="s">
        <v>5291</v>
      </c>
      <c r="W190" s="1" t="s">
        <v>6180</v>
      </c>
      <c r="X190" s="1">
        <v>200.0</v>
      </c>
      <c r="Y190" s="1" t="s">
        <v>5075</v>
      </c>
      <c r="AG190" s="5">
        <v>43047.0</v>
      </c>
    </row>
    <row r="191">
      <c r="A191" s="1">
        <v>403149.0</v>
      </c>
      <c r="B191" s="1">
        <v>0.0</v>
      </c>
      <c r="C191" s="1" t="s">
        <v>6181</v>
      </c>
      <c r="D191" s="1" t="s">
        <v>5081</v>
      </c>
      <c r="E191" s="5">
        <v>44132.0</v>
      </c>
      <c r="F191" s="1" t="s">
        <v>6182</v>
      </c>
      <c r="G191" s="1" t="s">
        <v>6176</v>
      </c>
      <c r="H191" s="1" t="s">
        <v>5102</v>
      </c>
      <c r="I191" s="1" t="s">
        <v>18</v>
      </c>
      <c r="J191" s="1" t="s">
        <v>5071</v>
      </c>
      <c r="K191" s="6" t="s">
        <v>6183</v>
      </c>
      <c r="L191" s="6" t="s">
        <v>6184</v>
      </c>
      <c r="M191" s="1" t="s">
        <v>6185</v>
      </c>
      <c r="O191" s="5">
        <v>30317.0</v>
      </c>
      <c r="R191" s="1" t="b">
        <v>0</v>
      </c>
      <c r="S191" s="1">
        <v>0.0</v>
      </c>
      <c r="U191" s="1" t="b">
        <v>0</v>
      </c>
      <c r="V191" s="1" t="s">
        <v>5291</v>
      </c>
      <c r="W191" s="1" t="s">
        <v>6180</v>
      </c>
      <c r="X191" s="1">
        <v>200.0</v>
      </c>
      <c r="AA191" s="1" t="s">
        <v>6175</v>
      </c>
      <c r="AG191" s="5">
        <v>44132.0</v>
      </c>
    </row>
    <row r="192">
      <c r="A192" s="1">
        <v>4239.0</v>
      </c>
      <c r="B192" s="1">
        <v>0.0</v>
      </c>
      <c r="C192" s="1" t="s">
        <v>6186</v>
      </c>
      <c r="D192" s="1" t="s">
        <v>5068</v>
      </c>
      <c r="F192" s="1" t="s">
        <v>6187</v>
      </c>
      <c r="G192" s="1" t="s">
        <v>26</v>
      </c>
      <c r="H192" s="1" t="s">
        <v>5102</v>
      </c>
      <c r="I192" s="1" t="s">
        <v>18</v>
      </c>
      <c r="J192" s="1" t="s">
        <v>5071</v>
      </c>
      <c r="K192" s="1" t="s">
        <v>5072</v>
      </c>
      <c r="L192" s="6" t="s">
        <v>6188</v>
      </c>
      <c r="M192" s="1" t="s">
        <v>6189</v>
      </c>
      <c r="O192" s="5">
        <v>42370.0</v>
      </c>
      <c r="R192" s="1" t="b">
        <v>0</v>
      </c>
      <c r="S192" s="1">
        <v>0.0</v>
      </c>
      <c r="T192" s="1">
        <v>4130.0</v>
      </c>
      <c r="U192" s="1" t="b">
        <v>0</v>
      </c>
      <c r="V192" s="1" t="s">
        <v>5343</v>
      </c>
      <c r="X192" s="1">
        <v>408.0</v>
      </c>
      <c r="Y192" s="1" t="s">
        <v>5075</v>
      </c>
      <c r="Z192" s="1" t="s">
        <v>435</v>
      </c>
      <c r="AG192" s="5">
        <v>43047.0</v>
      </c>
    </row>
    <row r="193">
      <c r="A193" s="1">
        <v>172937.0</v>
      </c>
      <c r="B193" s="1">
        <v>0.0</v>
      </c>
      <c r="C193" s="1" t="s">
        <v>6190</v>
      </c>
      <c r="D193" s="1" t="s">
        <v>5081</v>
      </c>
      <c r="F193" s="1" t="s">
        <v>6191</v>
      </c>
      <c r="G193" s="1" t="s">
        <v>26</v>
      </c>
      <c r="H193" s="1" t="s">
        <v>5102</v>
      </c>
      <c r="I193" s="1" t="s">
        <v>18</v>
      </c>
      <c r="J193" s="1" t="s">
        <v>5071</v>
      </c>
      <c r="K193" s="1" t="s">
        <v>5072</v>
      </c>
      <c r="L193" s="6" t="s">
        <v>6192</v>
      </c>
      <c r="M193" s="1" t="s">
        <v>6193</v>
      </c>
      <c r="O193" s="5">
        <v>42370.0</v>
      </c>
      <c r="R193" s="1" t="b">
        <v>0</v>
      </c>
      <c r="S193" s="1">
        <v>0.0</v>
      </c>
      <c r="T193" s="1">
        <v>4130.0</v>
      </c>
      <c r="U193" s="1" t="b">
        <v>0</v>
      </c>
      <c r="V193" s="1" t="s">
        <v>5343</v>
      </c>
      <c r="X193" s="1">
        <v>408.0</v>
      </c>
      <c r="Z193" s="1" t="s">
        <v>435</v>
      </c>
      <c r="AA193" s="1" t="s">
        <v>6187</v>
      </c>
      <c r="AG193" s="5">
        <v>43298.0</v>
      </c>
    </row>
    <row r="194">
      <c r="A194" s="1">
        <v>4243.0</v>
      </c>
      <c r="B194" s="1">
        <v>0.0</v>
      </c>
      <c r="C194" s="1" t="s">
        <v>6194</v>
      </c>
      <c r="D194" s="1" t="s">
        <v>5068</v>
      </c>
      <c r="E194" s="5">
        <v>43672.0</v>
      </c>
      <c r="F194" s="1" t="s">
        <v>6195</v>
      </c>
      <c r="G194" s="1" t="s">
        <v>5115</v>
      </c>
      <c r="H194" s="1" t="s">
        <v>5116</v>
      </c>
      <c r="I194" s="1" t="s">
        <v>356</v>
      </c>
      <c r="J194" s="1" t="s">
        <v>5071</v>
      </c>
      <c r="K194" s="1" t="s">
        <v>5072</v>
      </c>
      <c r="L194" s="6" t="s">
        <v>6196</v>
      </c>
      <c r="M194" s="1" t="s">
        <v>6197</v>
      </c>
      <c r="R194" s="1" t="b">
        <v>0</v>
      </c>
      <c r="S194" s="1">
        <v>0.0</v>
      </c>
      <c r="T194" s="1">
        <v>288.0</v>
      </c>
      <c r="U194" s="1" t="b">
        <v>0</v>
      </c>
      <c r="V194" s="1" t="s">
        <v>6198</v>
      </c>
      <c r="W194" s="1" t="s">
        <v>6199</v>
      </c>
      <c r="Y194" s="1" t="s">
        <v>5075</v>
      </c>
      <c r="Z194" s="1" t="s">
        <v>5135</v>
      </c>
      <c r="AC194" s="1" t="s">
        <v>5077</v>
      </c>
      <c r="AD194" s="1" t="s">
        <v>5093</v>
      </c>
      <c r="AE194" s="6" t="s">
        <v>6200</v>
      </c>
      <c r="AG194" s="5">
        <v>43047.0</v>
      </c>
      <c r="AH194" s="1">
        <v>1175.0</v>
      </c>
    </row>
    <row r="195">
      <c r="A195" s="1">
        <v>172997.0</v>
      </c>
      <c r="B195" s="1">
        <v>0.0</v>
      </c>
      <c r="C195" s="1" t="s">
        <v>6201</v>
      </c>
      <c r="D195" s="1" t="s">
        <v>5081</v>
      </c>
      <c r="E195" s="5">
        <v>43672.0</v>
      </c>
      <c r="F195" s="1" t="s">
        <v>6202</v>
      </c>
      <c r="G195" s="1" t="s">
        <v>5115</v>
      </c>
      <c r="H195" s="1" t="s">
        <v>5116</v>
      </c>
      <c r="I195" s="1" t="s">
        <v>356</v>
      </c>
      <c r="J195" s="1" t="s">
        <v>5071</v>
      </c>
      <c r="K195" s="1" t="s">
        <v>5072</v>
      </c>
      <c r="L195" s="6" t="s">
        <v>6203</v>
      </c>
      <c r="M195" s="1" t="s">
        <v>5799</v>
      </c>
      <c r="R195" s="1" t="b">
        <v>0</v>
      </c>
      <c r="S195" s="1">
        <v>0.0</v>
      </c>
      <c r="T195" s="1">
        <v>288.0</v>
      </c>
      <c r="U195" s="1" t="b">
        <v>0</v>
      </c>
      <c r="V195" s="1" t="s">
        <v>6198</v>
      </c>
      <c r="W195" s="1" t="s">
        <v>6199</v>
      </c>
      <c r="Z195" s="1" t="s">
        <v>5135</v>
      </c>
      <c r="AA195" s="1" t="s">
        <v>6195</v>
      </c>
      <c r="AE195" s="6" t="s">
        <v>6204</v>
      </c>
      <c r="AG195" s="5">
        <v>43298.0</v>
      </c>
    </row>
    <row r="196">
      <c r="A196" s="1">
        <v>4247.0</v>
      </c>
      <c r="B196" s="1">
        <v>0.0</v>
      </c>
      <c r="C196" s="1" t="s">
        <v>6205</v>
      </c>
      <c r="D196" s="1" t="s">
        <v>5068</v>
      </c>
      <c r="E196" s="5">
        <v>44124.0</v>
      </c>
      <c r="F196" s="1" t="s">
        <v>6206</v>
      </c>
      <c r="G196" s="1" t="s">
        <v>26</v>
      </c>
      <c r="H196" s="1" t="s">
        <v>5070</v>
      </c>
      <c r="I196" s="1" t="s">
        <v>18</v>
      </c>
      <c r="J196" s="1" t="s">
        <v>5071</v>
      </c>
      <c r="K196" s="6" t="s">
        <v>6207</v>
      </c>
      <c r="L196" s="6" t="s">
        <v>6208</v>
      </c>
      <c r="M196" s="1" t="s">
        <v>6209</v>
      </c>
      <c r="O196" s="5">
        <v>43112.0</v>
      </c>
      <c r="P196" s="5">
        <v>43191.0</v>
      </c>
      <c r="R196" s="1" t="b">
        <v>0</v>
      </c>
      <c r="S196" s="1">
        <v>0.0</v>
      </c>
      <c r="T196" s="1">
        <v>3756.0</v>
      </c>
      <c r="U196" s="1" t="b">
        <v>0</v>
      </c>
      <c r="V196" s="1" t="s">
        <v>5688</v>
      </c>
      <c r="W196" s="1" t="s">
        <v>6210</v>
      </c>
      <c r="X196" s="1">
        <v>200.0</v>
      </c>
      <c r="Y196" s="1" t="s">
        <v>5075</v>
      </c>
      <c r="Z196" s="1" t="s">
        <v>5076</v>
      </c>
      <c r="AE196" s="6" t="s">
        <v>6211</v>
      </c>
      <c r="AG196" s="5">
        <v>43047.0</v>
      </c>
    </row>
    <row r="197">
      <c r="A197" s="1">
        <v>173003.0</v>
      </c>
      <c r="B197" s="1">
        <v>0.0</v>
      </c>
      <c r="C197" s="1" t="s">
        <v>6212</v>
      </c>
      <c r="D197" s="1" t="s">
        <v>5081</v>
      </c>
      <c r="E197" s="5">
        <v>44124.0</v>
      </c>
      <c r="F197" s="1" t="s">
        <v>6213</v>
      </c>
      <c r="G197" s="1" t="s">
        <v>26</v>
      </c>
      <c r="H197" s="1" t="s">
        <v>5070</v>
      </c>
      <c r="I197" s="1" t="s">
        <v>18</v>
      </c>
      <c r="J197" s="1" t="s">
        <v>5071</v>
      </c>
      <c r="K197" s="6" t="s">
        <v>6214</v>
      </c>
      <c r="L197" s="6" t="s">
        <v>6215</v>
      </c>
      <c r="M197" s="1" t="s">
        <v>5799</v>
      </c>
      <c r="O197" s="5">
        <v>43112.0</v>
      </c>
      <c r="P197" s="5">
        <v>43191.0</v>
      </c>
      <c r="R197" s="1" t="b">
        <v>0</v>
      </c>
      <c r="S197" s="1">
        <v>0.0</v>
      </c>
      <c r="T197" s="1">
        <v>3756.0</v>
      </c>
      <c r="U197" s="1" t="b">
        <v>0</v>
      </c>
      <c r="V197" s="1" t="s">
        <v>5688</v>
      </c>
      <c r="W197" s="1" t="s">
        <v>6210</v>
      </c>
      <c r="X197" s="1">
        <v>200.0</v>
      </c>
      <c r="Z197" s="1" t="s">
        <v>5076</v>
      </c>
      <c r="AA197" s="1" t="s">
        <v>6206</v>
      </c>
      <c r="AE197" s="6" t="s">
        <v>6216</v>
      </c>
      <c r="AG197" s="5">
        <v>43298.0</v>
      </c>
    </row>
    <row r="198">
      <c r="A198" s="1">
        <v>4249.0</v>
      </c>
      <c r="B198" s="1">
        <v>0.0</v>
      </c>
      <c r="C198" s="1" t="s">
        <v>6217</v>
      </c>
      <c r="D198" s="1" t="s">
        <v>5068</v>
      </c>
      <c r="F198" s="1" t="s">
        <v>6218</v>
      </c>
      <c r="G198" s="1" t="s">
        <v>26</v>
      </c>
      <c r="H198" s="1" t="s">
        <v>5070</v>
      </c>
      <c r="I198" s="1" t="s">
        <v>18</v>
      </c>
      <c r="J198" s="1" t="s">
        <v>5071</v>
      </c>
      <c r="K198" s="6" t="s">
        <v>6219</v>
      </c>
      <c r="L198" s="6" t="s">
        <v>6220</v>
      </c>
      <c r="M198" s="1" t="s">
        <v>6221</v>
      </c>
      <c r="R198" s="1" t="b">
        <v>0</v>
      </c>
      <c r="S198" s="1">
        <v>0.0</v>
      </c>
      <c r="U198" s="1" t="b">
        <v>0</v>
      </c>
      <c r="V198" s="1" t="s">
        <v>5699</v>
      </c>
      <c r="W198" s="1" t="s">
        <v>6222</v>
      </c>
      <c r="X198" s="1">
        <v>200.0</v>
      </c>
      <c r="Y198" s="1" t="s">
        <v>5075</v>
      </c>
      <c r="AG198" s="5">
        <v>43047.0</v>
      </c>
    </row>
    <row r="199">
      <c r="A199" s="1">
        <v>4263.0</v>
      </c>
      <c r="B199" s="1">
        <v>0.0</v>
      </c>
      <c r="C199" s="1" t="s">
        <v>6223</v>
      </c>
      <c r="D199" s="1" t="s">
        <v>5068</v>
      </c>
      <c r="F199" s="1" t="s">
        <v>6224</v>
      </c>
      <c r="G199" s="1" t="s">
        <v>26</v>
      </c>
      <c r="H199" s="1" t="s">
        <v>5070</v>
      </c>
      <c r="I199" s="1" t="s">
        <v>18</v>
      </c>
      <c r="J199" s="1" t="s">
        <v>5071</v>
      </c>
      <c r="K199" s="6" t="s">
        <v>6225</v>
      </c>
      <c r="L199" s="6" t="s">
        <v>6226</v>
      </c>
      <c r="M199" s="1" t="s">
        <v>6227</v>
      </c>
      <c r="O199" s="5">
        <v>40738.0</v>
      </c>
      <c r="R199" s="1" t="b">
        <v>0</v>
      </c>
      <c r="S199" s="1">
        <v>0.0</v>
      </c>
      <c r="T199" s="1">
        <v>3756.0</v>
      </c>
      <c r="U199" s="1" t="b">
        <v>0</v>
      </c>
      <c r="V199" s="1" t="s">
        <v>6228</v>
      </c>
      <c r="W199" s="1" t="s">
        <v>6229</v>
      </c>
      <c r="X199" s="1">
        <v>599.0</v>
      </c>
      <c r="Y199" s="1" t="s">
        <v>5075</v>
      </c>
      <c r="Z199" s="1" t="s">
        <v>5076</v>
      </c>
      <c r="AE199" s="6" t="s">
        <v>6230</v>
      </c>
      <c r="AG199" s="5">
        <v>43047.0</v>
      </c>
    </row>
    <row r="200">
      <c r="A200" s="1">
        <v>173019.0</v>
      </c>
      <c r="B200" s="1">
        <v>0.0</v>
      </c>
      <c r="C200" s="1" t="s">
        <v>6231</v>
      </c>
      <c r="D200" s="1" t="s">
        <v>5081</v>
      </c>
      <c r="F200" s="1" t="s">
        <v>6232</v>
      </c>
      <c r="G200" s="1" t="s">
        <v>26</v>
      </c>
      <c r="H200" s="1" t="s">
        <v>5070</v>
      </c>
      <c r="I200" s="1" t="s">
        <v>18</v>
      </c>
      <c r="J200" s="1" t="s">
        <v>5071</v>
      </c>
      <c r="K200" s="1" t="s">
        <v>5072</v>
      </c>
      <c r="L200" s="6" t="s">
        <v>6233</v>
      </c>
      <c r="M200" s="1" t="s">
        <v>5799</v>
      </c>
      <c r="O200" s="5">
        <v>40738.0</v>
      </c>
      <c r="R200" s="1" t="b">
        <v>0</v>
      </c>
      <c r="S200" s="1">
        <v>0.0</v>
      </c>
      <c r="T200" s="1">
        <v>3756.0</v>
      </c>
      <c r="U200" s="1" t="b">
        <v>0</v>
      </c>
      <c r="V200" s="1" t="s">
        <v>6228</v>
      </c>
      <c r="W200" s="1" t="s">
        <v>6229</v>
      </c>
      <c r="X200" s="1">
        <v>599.0</v>
      </c>
      <c r="Z200" s="1" t="s">
        <v>5076</v>
      </c>
      <c r="AA200" s="1" t="s">
        <v>6224</v>
      </c>
      <c r="AE200" s="6" t="s">
        <v>6234</v>
      </c>
      <c r="AG200" s="5">
        <v>43298.0</v>
      </c>
    </row>
    <row r="201">
      <c r="A201" s="1">
        <v>4264.0</v>
      </c>
      <c r="B201" s="1">
        <v>0.0</v>
      </c>
      <c r="C201" s="1" t="s">
        <v>6235</v>
      </c>
      <c r="D201" s="1" t="s">
        <v>5068</v>
      </c>
      <c r="F201" s="1" t="s">
        <v>6236</v>
      </c>
      <c r="G201" s="1" t="s">
        <v>26</v>
      </c>
      <c r="H201" s="1" t="s">
        <v>5070</v>
      </c>
      <c r="I201" s="1" t="s">
        <v>18</v>
      </c>
      <c r="J201" s="1" t="s">
        <v>5071</v>
      </c>
      <c r="K201" s="6" t="s">
        <v>6237</v>
      </c>
      <c r="L201" s="6" t="s">
        <v>6238</v>
      </c>
      <c r="M201" s="1" t="s">
        <v>6239</v>
      </c>
      <c r="O201" s="5">
        <v>41089.0</v>
      </c>
      <c r="R201" s="1" t="b">
        <v>0</v>
      </c>
      <c r="S201" s="1">
        <v>0.0</v>
      </c>
      <c r="T201" s="1">
        <v>3756.0</v>
      </c>
      <c r="U201" s="1" t="b">
        <v>0</v>
      </c>
      <c r="V201" s="1" t="s">
        <v>6240</v>
      </c>
      <c r="W201" s="1" t="s">
        <v>6241</v>
      </c>
      <c r="X201" s="1">
        <v>599.0</v>
      </c>
      <c r="Y201" s="1" t="s">
        <v>5075</v>
      </c>
      <c r="Z201" s="1" t="s">
        <v>5076</v>
      </c>
      <c r="AE201" s="6" t="s">
        <v>6242</v>
      </c>
      <c r="AG201" s="5">
        <v>43047.0</v>
      </c>
    </row>
    <row r="202">
      <c r="A202" s="1">
        <v>173020.0</v>
      </c>
      <c r="B202" s="1">
        <v>0.0</v>
      </c>
      <c r="C202" s="1" t="s">
        <v>6243</v>
      </c>
      <c r="D202" s="1" t="s">
        <v>5081</v>
      </c>
      <c r="F202" s="1" t="s">
        <v>6244</v>
      </c>
      <c r="G202" s="1" t="s">
        <v>26</v>
      </c>
      <c r="H202" s="1" t="s">
        <v>5070</v>
      </c>
      <c r="I202" s="1" t="s">
        <v>18</v>
      </c>
      <c r="J202" s="1" t="s">
        <v>5071</v>
      </c>
      <c r="K202" s="6" t="s">
        <v>6245</v>
      </c>
      <c r="L202" s="6" t="s">
        <v>6246</v>
      </c>
      <c r="M202" s="1" t="s">
        <v>5799</v>
      </c>
      <c r="O202" s="5">
        <v>41089.0</v>
      </c>
      <c r="R202" s="1" t="b">
        <v>0</v>
      </c>
      <c r="S202" s="1">
        <v>0.0</v>
      </c>
      <c r="T202" s="1">
        <v>3756.0</v>
      </c>
      <c r="U202" s="1" t="b">
        <v>0</v>
      </c>
      <c r="V202" s="1" t="s">
        <v>6240</v>
      </c>
      <c r="W202" s="1" t="s">
        <v>6241</v>
      </c>
      <c r="X202" s="1">
        <v>599.0</v>
      </c>
      <c r="Z202" s="1" t="s">
        <v>5076</v>
      </c>
      <c r="AA202" s="1" t="s">
        <v>6236</v>
      </c>
      <c r="AE202" s="6" t="s">
        <v>6247</v>
      </c>
      <c r="AG202" s="5">
        <v>43298.0</v>
      </c>
    </row>
    <row r="203">
      <c r="A203" s="1">
        <v>4265.0</v>
      </c>
      <c r="B203" s="1">
        <v>0.0</v>
      </c>
      <c r="C203" s="1" t="s">
        <v>6248</v>
      </c>
      <c r="D203" s="1" t="s">
        <v>5068</v>
      </c>
      <c r="F203" s="1" t="s">
        <v>6249</v>
      </c>
      <c r="G203" s="1" t="s">
        <v>26</v>
      </c>
      <c r="H203" s="1" t="s">
        <v>5070</v>
      </c>
      <c r="I203" s="1" t="s">
        <v>18</v>
      </c>
      <c r="J203" s="1" t="s">
        <v>5071</v>
      </c>
      <c r="K203" s="1" t="s">
        <v>5072</v>
      </c>
      <c r="L203" s="6" t="s">
        <v>6250</v>
      </c>
      <c r="M203" s="1" t="s">
        <v>6251</v>
      </c>
      <c r="O203" s="5">
        <v>42173.0</v>
      </c>
      <c r="R203" s="1" t="b">
        <v>0</v>
      </c>
      <c r="S203" s="1">
        <v>0.0</v>
      </c>
      <c r="T203" s="1">
        <v>3756.0</v>
      </c>
      <c r="U203" s="1" t="b">
        <v>0</v>
      </c>
      <c r="V203" s="1" t="s">
        <v>6252</v>
      </c>
      <c r="X203" s="1">
        <v>599.0</v>
      </c>
      <c r="Y203" s="1" t="s">
        <v>5075</v>
      </c>
      <c r="Z203" s="1" t="s">
        <v>5076</v>
      </c>
      <c r="AE203" s="6" t="s">
        <v>6253</v>
      </c>
      <c r="AG203" s="5">
        <v>43047.0</v>
      </c>
    </row>
    <row r="204">
      <c r="A204" s="1">
        <v>173021.0</v>
      </c>
      <c r="B204" s="1">
        <v>0.0</v>
      </c>
      <c r="C204" s="1" t="s">
        <v>6254</v>
      </c>
      <c r="D204" s="1" t="s">
        <v>5081</v>
      </c>
      <c r="F204" s="1" t="s">
        <v>6255</v>
      </c>
      <c r="G204" s="1" t="s">
        <v>26</v>
      </c>
      <c r="H204" s="1" t="s">
        <v>5070</v>
      </c>
      <c r="I204" s="1" t="s">
        <v>18</v>
      </c>
      <c r="J204" s="1" t="s">
        <v>5071</v>
      </c>
      <c r="K204" s="1" t="s">
        <v>5072</v>
      </c>
      <c r="L204" s="6" t="s">
        <v>6256</v>
      </c>
      <c r="M204" s="1" t="s">
        <v>5799</v>
      </c>
      <c r="O204" s="5">
        <v>42173.0</v>
      </c>
      <c r="R204" s="1" t="b">
        <v>0</v>
      </c>
      <c r="S204" s="1">
        <v>0.0</v>
      </c>
      <c r="T204" s="1">
        <v>3756.0</v>
      </c>
      <c r="U204" s="1" t="b">
        <v>0</v>
      </c>
      <c r="V204" s="1" t="s">
        <v>6252</v>
      </c>
      <c r="X204" s="1">
        <v>599.0</v>
      </c>
      <c r="Z204" s="1" t="s">
        <v>5076</v>
      </c>
      <c r="AA204" s="1" t="s">
        <v>6249</v>
      </c>
      <c r="AE204" s="6" t="s">
        <v>6234</v>
      </c>
      <c r="AG204" s="5">
        <v>43298.0</v>
      </c>
    </row>
    <row r="205">
      <c r="A205" s="1">
        <v>4272.0</v>
      </c>
      <c r="B205" s="1">
        <v>1.0</v>
      </c>
      <c r="C205" s="1" t="s">
        <v>444</v>
      </c>
      <c r="D205" s="1" t="s">
        <v>5068</v>
      </c>
      <c r="E205" s="5">
        <v>44720.0</v>
      </c>
      <c r="F205" s="1" t="s">
        <v>445</v>
      </c>
      <c r="G205" s="1" t="s">
        <v>26</v>
      </c>
      <c r="H205" s="1" t="s">
        <v>5102</v>
      </c>
      <c r="I205" s="1" t="s">
        <v>18</v>
      </c>
      <c r="J205" s="1" t="s">
        <v>5071</v>
      </c>
      <c r="K205" s="6" t="s">
        <v>6257</v>
      </c>
      <c r="L205" s="6" t="s">
        <v>6258</v>
      </c>
      <c r="M205" s="1" t="s">
        <v>6259</v>
      </c>
      <c r="O205" s="5">
        <v>31778.0</v>
      </c>
      <c r="R205" s="1" t="b">
        <v>0</v>
      </c>
      <c r="S205" s="1">
        <v>0.0</v>
      </c>
      <c r="U205" s="1" t="b">
        <v>0</v>
      </c>
      <c r="V205" s="1" t="s">
        <v>6260</v>
      </c>
      <c r="W205" s="1" t="s">
        <v>6261</v>
      </c>
      <c r="X205" s="1">
        <v>200.0</v>
      </c>
      <c r="Y205" s="1" t="s">
        <v>5075</v>
      </c>
      <c r="AC205" s="1" t="s">
        <v>5077</v>
      </c>
      <c r="AD205" s="1" t="s">
        <v>5093</v>
      </c>
      <c r="AG205" s="5">
        <v>43047.0</v>
      </c>
      <c r="AH205" s="1">
        <v>358557.0</v>
      </c>
    </row>
    <row r="206">
      <c r="A206" s="1">
        <v>212056.0</v>
      </c>
      <c r="B206" s="1">
        <v>1.0</v>
      </c>
      <c r="C206" s="1" t="s">
        <v>6262</v>
      </c>
      <c r="D206" s="1" t="s">
        <v>5081</v>
      </c>
      <c r="E206" s="5">
        <v>44720.0</v>
      </c>
      <c r="F206" s="1" t="s">
        <v>6263</v>
      </c>
      <c r="G206" s="1" t="s">
        <v>26</v>
      </c>
      <c r="H206" s="1" t="s">
        <v>5102</v>
      </c>
      <c r="I206" s="1" t="s">
        <v>18</v>
      </c>
      <c r="J206" s="1" t="s">
        <v>5071</v>
      </c>
      <c r="K206" s="6" t="s">
        <v>6264</v>
      </c>
      <c r="L206" s="6" t="s">
        <v>6265</v>
      </c>
      <c r="M206" s="1" t="s">
        <v>6266</v>
      </c>
      <c r="O206" s="5">
        <v>31778.0</v>
      </c>
      <c r="R206" s="1" t="b">
        <v>0</v>
      </c>
      <c r="S206" s="1">
        <v>0.0</v>
      </c>
      <c r="U206" s="1" t="b">
        <v>0</v>
      </c>
      <c r="V206" s="1" t="s">
        <v>6260</v>
      </c>
      <c r="W206" s="1" t="s">
        <v>6261</v>
      </c>
      <c r="X206" s="1">
        <v>200.0</v>
      </c>
      <c r="AA206" s="1" t="s">
        <v>445</v>
      </c>
      <c r="AG206" s="5">
        <v>43642.0</v>
      </c>
    </row>
    <row r="207">
      <c r="A207" s="1">
        <v>4273.0</v>
      </c>
      <c r="B207" s="1">
        <v>0.0</v>
      </c>
      <c r="C207" s="1" t="s">
        <v>6267</v>
      </c>
      <c r="D207" s="1" t="s">
        <v>5068</v>
      </c>
      <c r="F207" s="1" t="s">
        <v>6268</v>
      </c>
      <c r="G207" s="1" t="s">
        <v>26</v>
      </c>
      <c r="H207" s="1" t="s">
        <v>5102</v>
      </c>
      <c r="I207" s="1" t="s">
        <v>18</v>
      </c>
      <c r="J207" s="1" t="s">
        <v>5071</v>
      </c>
      <c r="K207" s="6" t="s">
        <v>6269</v>
      </c>
      <c r="L207" s="6" t="s">
        <v>6270</v>
      </c>
      <c r="M207" s="1" t="s">
        <v>6271</v>
      </c>
      <c r="O207" s="5">
        <v>32143.0</v>
      </c>
      <c r="R207" s="1" t="b">
        <v>0</v>
      </c>
      <c r="S207" s="1">
        <v>0.0</v>
      </c>
      <c r="T207" s="1">
        <v>4272.0</v>
      </c>
      <c r="U207" s="1" t="b">
        <v>0</v>
      </c>
      <c r="V207" s="1" t="s">
        <v>5119</v>
      </c>
      <c r="W207" s="1" t="s">
        <v>6272</v>
      </c>
      <c r="X207" s="1">
        <v>200.0</v>
      </c>
      <c r="Y207" s="1" t="s">
        <v>5075</v>
      </c>
      <c r="Z207" s="1" t="s">
        <v>445</v>
      </c>
      <c r="AG207" s="5">
        <v>43047.0</v>
      </c>
    </row>
    <row r="208">
      <c r="A208" s="1">
        <v>439530.0</v>
      </c>
      <c r="B208" s="1">
        <v>0.0</v>
      </c>
      <c r="C208" s="1" t="s">
        <v>6273</v>
      </c>
      <c r="D208" s="1" t="s">
        <v>5081</v>
      </c>
      <c r="F208" s="1" t="s">
        <v>6274</v>
      </c>
      <c r="G208" s="1" t="s">
        <v>26</v>
      </c>
      <c r="H208" s="1" t="s">
        <v>5102</v>
      </c>
      <c r="I208" s="1" t="s">
        <v>18</v>
      </c>
      <c r="J208" s="1" t="s">
        <v>5071</v>
      </c>
      <c r="K208" s="6" t="s">
        <v>6275</v>
      </c>
      <c r="L208" s="6" t="s">
        <v>6276</v>
      </c>
      <c r="M208" s="1" t="s">
        <v>5125</v>
      </c>
      <c r="O208" s="5">
        <v>32143.0</v>
      </c>
      <c r="R208" s="1" t="b">
        <v>0</v>
      </c>
      <c r="S208" s="1">
        <v>0.0</v>
      </c>
      <c r="T208" s="1">
        <v>4272.0</v>
      </c>
      <c r="U208" s="1" t="b">
        <v>0</v>
      </c>
      <c r="V208" s="1" t="s">
        <v>5119</v>
      </c>
      <c r="W208" s="1" t="s">
        <v>6272</v>
      </c>
      <c r="X208" s="1">
        <v>200.0</v>
      </c>
      <c r="Z208" s="1" t="s">
        <v>445</v>
      </c>
      <c r="AA208" s="1" t="s">
        <v>6268</v>
      </c>
      <c r="AG208" s="5">
        <v>44398.0</v>
      </c>
    </row>
    <row r="209">
      <c r="A209" s="1">
        <v>4274.0</v>
      </c>
      <c r="B209" s="1">
        <v>1.0</v>
      </c>
      <c r="C209" s="1" t="s">
        <v>6277</v>
      </c>
      <c r="D209" s="1" t="s">
        <v>5068</v>
      </c>
      <c r="F209" s="1" t="s">
        <v>6278</v>
      </c>
      <c r="G209" s="1" t="s">
        <v>26</v>
      </c>
      <c r="H209" s="1" t="s">
        <v>5102</v>
      </c>
      <c r="I209" s="1" t="s">
        <v>18</v>
      </c>
      <c r="J209" s="1" t="s">
        <v>5071</v>
      </c>
      <c r="K209" s="6" t="s">
        <v>6279</v>
      </c>
      <c r="L209" s="6" t="s">
        <v>6280</v>
      </c>
      <c r="M209" s="1" t="s">
        <v>6281</v>
      </c>
      <c r="O209" s="5">
        <v>42005.0</v>
      </c>
      <c r="R209" s="1" t="b">
        <v>0</v>
      </c>
      <c r="S209" s="1">
        <v>0.0</v>
      </c>
      <c r="T209" s="1">
        <v>4272.0</v>
      </c>
      <c r="U209" s="1" t="b">
        <v>0</v>
      </c>
      <c r="V209" s="1" t="s">
        <v>6282</v>
      </c>
      <c r="W209" s="1" t="s">
        <v>6283</v>
      </c>
      <c r="X209" s="1">
        <v>200.0</v>
      </c>
      <c r="Z209" s="1" t="s">
        <v>445</v>
      </c>
      <c r="AC209" s="1" t="s">
        <v>5077</v>
      </c>
      <c r="AD209" s="1" t="s">
        <v>5093</v>
      </c>
      <c r="AG209" s="5">
        <v>43047.0</v>
      </c>
      <c r="AH209" s="1">
        <v>295442.0</v>
      </c>
    </row>
    <row r="210">
      <c r="A210" s="1">
        <v>173113.0</v>
      </c>
      <c r="B210" s="1">
        <v>1.0</v>
      </c>
      <c r="C210" s="1" t="s">
        <v>6284</v>
      </c>
      <c r="D210" s="1" t="s">
        <v>5081</v>
      </c>
      <c r="F210" s="1" t="s">
        <v>6285</v>
      </c>
      <c r="G210" s="1" t="s">
        <v>26</v>
      </c>
      <c r="H210" s="1" t="s">
        <v>5102</v>
      </c>
      <c r="I210" s="1" t="s">
        <v>18</v>
      </c>
      <c r="J210" s="1" t="s">
        <v>5071</v>
      </c>
      <c r="K210" s="6" t="s">
        <v>6286</v>
      </c>
      <c r="L210" s="6" t="s">
        <v>6287</v>
      </c>
      <c r="M210" s="1" t="s">
        <v>6288</v>
      </c>
      <c r="O210" s="5">
        <v>42005.0</v>
      </c>
      <c r="R210" s="1" t="b">
        <v>0</v>
      </c>
      <c r="S210" s="1">
        <v>0.0</v>
      </c>
      <c r="T210" s="1">
        <v>4272.0</v>
      </c>
      <c r="U210" s="1" t="b">
        <v>0</v>
      </c>
      <c r="V210" s="1" t="s">
        <v>6282</v>
      </c>
      <c r="W210" s="1" t="s">
        <v>6283</v>
      </c>
      <c r="X210" s="1">
        <v>200.0</v>
      </c>
      <c r="Z210" s="1" t="s">
        <v>445</v>
      </c>
      <c r="AA210" s="1" t="s">
        <v>6278</v>
      </c>
      <c r="AG210" s="5">
        <v>43298.0</v>
      </c>
    </row>
    <row r="211">
      <c r="A211" s="1">
        <v>4275.0</v>
      </c>
      <c r="B211" s="1">
        <v>1.0</v>
      </c>
      <c r="C211" s="1" t="s">
        <v>6289</v>
      </c>
      <c r="D211" s="1" t="s">
        <v>5068</v>
      </c>
      <c r="F211" s="1" t="s">
        <v>6290</v>
      </c>
      <c r="G211" s="1" t="s">
        <v>26</v>
      </c>
      <c r="H211" s="1" t="s">
        <v>5102</v>
      </c>
      <c r="I211" s="1" t="s">
        <v>18</v>
      </c>
      <c r="J211" s="1" t="s">
        <v>5071</v>
      </c>
      <c r="K211" s="6" t="s">
        <v>6291</v>
      </c>
      <c r="L211" s="6" t="s">
        <v>6292</v>
      </c>
      <c r="M211" s="1" t="s">
        <v>6293</v>
      </c>
      <c r="O211" s="5">
        <v>42004.0</v>
      </c>
      <c r="R211" s="1" t="b">
        <v>0</v>
      </c>
      <c r="S211" s="1">
        <v>0.0</v>
      </c>
      <c r="T211" s="1">
        <v>4272.0</v>
      </c>
      <c r="U211" s="1" t="b">
        <v>0</v>
      </c>
      <c r="V211" s="1" t="s">
        <v>5699</v>
      </c>
      <c r="W211" s="1" t="s">
        <v>6294</v>
      </c>
      <c r="X211" s="1">
        <v>200.0</v>
      </c>
      <c r="Z211" s="1" t="s">
        <v>445</v>
      </c>
      <c r="AC211" s="1" t="s">
        <v>5077</v>
      </c>
      <c r="AD211" s="1" t="s">
        <v>5093</v>
      </c>
      <c r="AG211" s="5">
        <v>43047.0</v>
      </c>
      <c r="AH211" s="1">
        <v>295202.0</v>
      </c>
    </row>
    <row r="212">
      <c r="A212" s="1">
        <v>439531.0</v>
      </c>
      <c r="B212" s="1">
        <v>1.0</v>
      </c>
      <c r="C212" s="1" t="s">
        <v>6295</v>
      </c>
      <c r="D212" s="1" t="s">
        <v>5081</v>
      </c>
      <c r="F212" s="1" t="s">
        <v>6296</v>
      </c>
      <c r="G212" s="1" t="s">
        <v>26</v>
      </c>
      <c r="H212" s="1" t="s">
        <v>5102</v>
      </c>
      <c r="I212" s="1" t="s">
        <v>18</v>
      </c>
      <c r="J212" s="1" t="s">
        <v>5071</v>
      </c>
      <c r="K212" s="6" t="s">
        <v>6297</v>
      </c>
      <c r="L212" s="6" t="s">
        <v>6298</v>
      </c>
      <c r="M212" s="1" t="s">
        <v>5125</v>
      </c>
      <c r="O212" s="5">
        <v>42004.0</v>
      </c>
      <c r="R212" s="1" t="b">
        <v>0</v>
      </c>
      <c r="S212" s="1">
        <v>0.0</v>
      </c>
      <c r="T212" s="1">
        <v>4272.0</v>
      </c>
      <c r="U212" s="1" t="b">
        <v>0</v>
      </c>
      <c r="V212" s="1" t="s">
        <v>5699</v>
      </c>
      <c r="W212" s="1" t="s">
        <v>6294</v>
      </c>
      <c r="X212" s="1">
        <v>200.0</v>
      </c>
      <c r="Z212" s="1" t="s">
        <v>445</v>
      </c>
      <c r="AA212" s="1" t="s">
        <v>6290</v>
      </c>
      <c r="AG212" s="5">
        <v>44398.0</v>
      </c>
    </row>
    <row r="213">
      <c r="A213" s="1">
        <v>4276.0</v>
      </c>
      <c r="B213" s="1">
        <v>1.0</v>
      </c>
      <c r="C213" s="1" t="s">
        <v>6299</v>
      </c>
      <c r="D213" s="1" t="s">
        <v>5068</v>
      </c>
      <c r="E213" s="5">
        <v>44132.0</v>
      </c>
      <c r="F213" s="1" t="s">
        <v>6300</v>
      </c>
      <c r="G213" s="1" t="s">
        <v>26</v>
      </c>
      <c r="H213" s="1" t="s">
        <v>5102</v>
      </c>
      <c r="I213" s="1" t="s">
        <v>18</v>
      </c>
      <c r="J213" s="1" t="s">
        <v>5071</v>
      </c>
      <c r="K213" s="6" t="s">
        <v>6301</v>
      </c>
      <c r="L213" s="6" t="s">
        <v>6302</v>
      </c>
      <c r="M213" s="1" t="s">
        <v>6303</v>
      </c>
      <c r="O213" s="5">
        <v>34700.0</v>
      </c>
      <c r="R213" s="1" t="b">
        <v>0</v>
      </c>
      <c r="S213" s="1">
        <v>0.0</v>
      </c>
      <c r="T213" s="1">
        <v>4272.0</v>
      </c>
      <c r="U213" s="1" t="b">
        <v>0</v>
      </c>
      <c r="V213" s="1" t="s">
        <v>5882</v>
      </c>
      <c r="W213" s="1" t="s">
        <v>6304</v>
      </c>
      <c r="X213" s="1">
        <v>408.0</v>
      </c>
      <c r="Y213" s="1" t="s">
        <v>5075</v>
      </c>
      <c r="Z213" s="1" t="s">
        <v>445</v>
      </c>
      <c r="AC213" s="1" t="s">
        <v>5077</v>
      </c>
      <c r="AD213" s="1" t="s">
        <v>5093</v>
      </c>
      <c r="AG213" s="5">
        <v>43047.0</v>
      </c>
      <c r="AH213" s="1">
        <v>295472.0</v>
      </c>
    </row>
    <row r="214">
      <c r="A214" s="1">
        <v>403150.0</v>
      </c>
      <c r="B214" s="1">
        <v>1.0</v>
      </c>
      <c r="C214" s="1" t="s">
        <v>6305</v>
      </c>
      <c r="D214" s="1" t="s">
        <v>5081</v>
      </c>
      <c r="E214" s="5">
        <v>44132.0</v>
      </c>
      <c r="F214" s="1" t="s">
        <v>6306</v>
      </c>
      <c r="G214" s="1" t="s">
        <v>26</v>
      </c>
      <c r="H214" s="1" t="s">
        <v>5102</v>
      </c>
      <c r="I214" s="1" t="s">
        <v>18</v>
      </c>
      <c r="J214" s="1" t="s">
        <v>5071</v>
      </c>
      <c r="K214" s="1" t="s">
        <v>5072</v>
      </c>
      <c r="L214" s="6" t="s">
        <v>6307</v>
      </c>
      <c r="M214" s="1" t="s">
        <v>6308</v>
      </c>
      <c r="O214" s="5">
        <v>34700.0</v>
      </c>
      <c r="R214" s="1" t="b">
        <v>0</v>
      </c>
      <c r="S214" s="1">
        <v>0.0</v>
      </c>
      <c r="T214" s="1">
        <v>4272.0</v>
      </c>
      <c r="U214" s="1" t="b">
        <v>0</v>
      </c>
      <c r="V214" s="1" t="s">
        <v>5882</v>
      </c>
      <c r="W214" s="1" t="s">
        <v>6304</v>
      </c>
      <c r="X214" s="1">
        <v>408.0</v>
      </c>
      <c r="Z214" s="1" t="s">
        <v>445</v>
      </c>
      <c r="AA214" s="1" t="s">
        <v>6300</v>
      </c>
      <c r="AG214" s="5">
        <v>44132.0</v>
      </c>
    </row>
    <row r="215">
      <c r="A215" s="1">
        <v>4277.0</v>
      </c>
      <c r="B215" s="1">
        <v>1.0</v>
      </c>
      <c r="C215" s="1" t="s">
        <v>6309</v>
      </c>
      <c r="D215" s="1" t="s">
        <v>5068</v>
      </c>
      <c r="F215" s="1" t="s">
        <v>6310</v>
      </c>
      <c r="G215" s="1" t="s">
        <v>26</v>
      </c>
      <c r="H215" s="1" t="s">
        <v>5102</v>
      </c>
      <c r="I215" s="1" t="s">
        <v>18</v>
      </c>
      <c r="J215" s="1" t="s">
        <v>5071</v>
      </c>
      <c r="K215" s="6" t="s">
        <v>6311</v>
      </c>
      <c r="L215" s="6" t="s">
        <v>6312</v>
      </c>
      <c r="M215" s="1" t="s">
        <v>6313</v>
      </c>
      <c r="O215" s="5">
        <v>34700.0</v>
      </c>
      <c r="R215" s="1" t="b">
        <v>0</v>
      </c>
      <c r="S215" s="1">
        <v>0.0</v>
      </c>
      <c r="T215" s="1">
        <v>4272.0</v>
      </c>
      <c r="U215" s="1" t="b">
        <v>0</v>
      </c>
      <c r="V215" s="1" t="s">
        <v>6314</v>
      </c>
      <c r="W215" s="1" t="s">
        <v>6315</v>
      </c>
      <c r="X215" s="1">
        <v>200.0</v>
      </c>
      <c r="Z215" s="1" t="s">
        <v>445</v>
      </c>
      <c r="AC215" s="1" t="s">
        <v>5077</v>
      </c>
      <c r="AD215" s="1" t="s">
        <v>5093</v>
      </c>
      <c r="AG215" s="5">
        <v>43047.0</v>
      </c>
      <c r="AH215" s="1">
        <v>296997.0</v>
      </c>
    </row>
    <row r="216">
      <c r="A216" s="1">
        <v>439532.0</v>
      </c>
      <c r="B216" s="1">
        <v>1.0</v>
      </c>
      <c r="C216" s="1" t="s">
        <v>6316</v>
      </c>
      <c r="D216" s="1" t="s">
        <v>5081</v>
      </c>
      <c r="F216" s="1" t="s">
        <v>6317</v>
      </c>
      <c r="G216" s="1" t="s">
        <v>26</v>
      </c>
      <c r="H216" s="1" t="s">
        <v>5102</v>
      </c>
      <c r="I216" s="1" t="s">
        <v>18</v>
      </c>
      <c r="J216" s="1" t="s">
        <v>5071</v>
      </c>
      <c r="K216" s="6" t="s">
        <v>6318</v>
      </c>
      <c r="L216" s="6" t="s">
        <v>6319</v>
      </c>
      <c r="M216" s="1" t="s">
        <v>5125</v>
      </c>
      <c r="O216" s="5">
        <v>34700.0</v>
      </c>
      <c r="R216" s="1" t="b">
        <v>0</v>
      </c>
      <c r="S216" s="1">
        <v>0.0</v>
      </c>
      <c r="T216" s="1">
        <v>4272.0</v>
      </c>
      <c r="U216" s="1" t="b">
        <v>0</v>
      </c>
      <c r="V216" s="1" t="s">
        <v>6314</v>
      </c>
      <c r="W216" s="1" t="s">
        <v>6315</v>
      </c>
      <c r="X216" s="1">
        <v>200.0</v>
      </c>
      <c r="Z216" s="1" t="s">
        <v>445</v>
      </c>
      <c r="AA216" s="1" t="s">
        <v>6310</v>
      </c>
      <c r="AG216" s="5">
        <v>44398.0</v>
      </c>
    </row>
    <row r="217">
      <c r="A217" s="1">
        <v>4278.0</v>
      </c>
      <c r="B217" s="1">
        <v>1.0</v>
      </c>
      <c r="C217" s="1" t="s">
        <v>6320</v>
      </c>
      <c r="D217" s="1" t="s">
        <v>5068</v>
      </c>
      <c r="F217" s="1" t="s">
        <v>6321</v>
      </c>
      <c r="G217" s="1" t="s">
        <v>26</v>
      </c>
      <c r="H217" s="1" t="s">
        <v>5102</v>
      </c>
      <c r="I217" s="1" t="s">
        <v>18</v>
      </c>
      <c r="J217" s="1" t="s">
        <v>5071</v>
      </c>
      <c r="K217" s="6" t="s">
        <v>6322</v>
      </c>
      <c r="L217" s="6" t="s">
        <v>6323</v>
      </c>
      <c r="M217" s="1" t="s">
        <v>6324</v>
      </c>
      <c r="O217" s="5">
        <v>39814.0</v>
      </c>
      <c r="R217" s="1" t="b">
        <v>0</v>
      </c>
      <c r="S217" s="1">
        <v>0.0</v>
      </c>
      <c r="T217" s="1">
        <v>4272.0</v>
      </c>
      <c r="U217" s="1" t="b">
        <v>0</v>
      </c>
      <c r="V217" s="1" t="s">
        <v>6325</v>
      </c>
      <c r="W217" s="1" t="s">
        <v>6326</v>
      </c>
      <c r="X217" s="1">
        <v>200.0</v>
      </c>
      <c r="Y217" s="1" t="s">
        <v>5075</v>
      </c>
      <c r="Z217" s="1" t="s">
        <v>445</v>
      </c>
      <c r="AC217" s="1" t="s">
        <v>5077</v>
      </c>
      <c r="AD217" s="1" t="s">
        <v>5093</v>
      </c>
      <c r="AG217" s="5">
        <v>43047.0</v>
      </c>
      <c r="AH217" s="1">
        <v>296996.0</v>
      </c>
    </row>
    <row r="218">
      <c r="A218" s="1">
        <v>439533.0</v>
      </c>
      <c r="B218" s="1">
        <v>1.0</v>
      </c>
      <c r="C218" s="1" t="s">
        <v>6327</v>
      </c>
      <c r="D218" s="1" t="s">
        <v>5081</v>
      </c>
      <c r="F218" s="1" t="s">
        <v>6328</v>
      </c>
      <c r="G218" s="1" t="s">
        <v>26</v>
      </c>
      <c r="H218" s="1" t="s">
        <v>5102</v>
      </c>
      <c r="I218" s="1" t="s">
        <v>18</v>
      </c>
      <c r="J218" s="1" t="s">
        <v>5071</v>
      </c>
      <c r="K218" s="6" t="s">
        <v>6329</v>
      </c>
      <c r="L218" s="6" t="s">
        <v>6330</v>
      </c>
      <c r="M218" s="1" t="s">
        <v>5125</v>
      </c>
      <c r="O218" s="5">
        <v>39814.0</v>
      </c>
      <c r="R218" s="1" t="b">
        <v>0</v>
      </c>
      <c r="S218" s="1">
        <v>0.0</v>
      </c>
      <c r="T218" s="1">
        <v>4272.0</v>
      </c>
      <c r="U218" s="1" t="b">
        <v>0</v>
      </c>
      <c r="V218" s="1" t="s">
        <v>6325</v>
      </c>
      <c r="W218" s="1" t="s">
        <v>6326</v>
      </c>
      <c r="X218" s="1">
        <v>200.0</v>
      </c>
      <c r="Z218" s="1" t="s">
        <v>445</v>
      </c>
      <c r="AA218" s="1" t="s">
        <v>6321</v>
      </c>
      <c r="AG218" s="5">
        <v>44398.0</v>
      </c>
    </row>
    <row r="219">
      <c r="A219" s="1">
        <v>4279.0</v>
      </c>
      <c r="B219" s="1">
        <v>1.0</v>
      </c>
      <c r="C219" s="1" t="s">
        <v>6331</v>
      </c>
      <c r="D219" s="1" t="s">
        <v>5068</v>
      </c>
      <c r="F219" s="1" t="s">
        <v>6332</v>
      </c>
      <c r="G219" s="1" t="s">
        <v>26</v>
      </c>
      <c r="H219" s="1" t="s">
        <v>5102</v>
      </c>
      <c r="I219" s="1" t="s">
        <v>18</v>
      </c>
      <c r="J219" s="1" t="s">
        <v>5071</v>
      </c>
      <c r="K219" s="6" t="s">
        <v>6333</v>
      </c>
      <c r="L219" s="6" t="s">
        <v>6334</v>
      </c>
      <c r="M219" s="1" t="s">
        <v>6335</v>
      </c>
      <c r="O219" s="5">
        <v>42005.0</v>
      </c>
      <c r="R219" s="1" t="b">
        <v>0</v>
      </c>
      <c r="S219" s="1">
        <v>0.0</v>
      </c>
      <c r="T219" s="1">
        <v>4272.0</v>
      </c>
      <c r="U219" s="1" t="b">
        <v>0</v>
      </c>
      <c r="V219" s="1" t="s">
        <v>6336</v>
      </c>
      <c r="W219" s="1" t="s">
        <v>6337</v>
      </c>
      <c r="X219" s="1">
        <v>200.0</v>
      </c>
      <c r="Y219" s="1" t="s">
        <v>5075</v>
      </c>
      <c r="Z219" s="1" t="s">
        <v>445</v>
      </c>
      <c r="AC219" s="1" t="s">
        <v>5077</v>
      </c>
      <c r="AD219" s="1" t="s">
        <v>5093</v>
      </c>
      <c r="AG219" s="5">
        <v>43047.0</v>
      </c>
      <c r="AH219" s="1">
        <v>296995.0</v>
      </c>
    </row>
    <row r="220">
      <c r="A220" s="1">
        <v>173110.0</v>
      </c>
      <c r="B220" s="1">
        <v>1.0</v>
      </c>
      <c r="C220" s="1" t="s">
        <v>6338</v>
      </c>
      <c r="D220" s="1" t="s">
        <v>5081</v>
      </c>
      <c r="F220" s="1" t="s">
        <v>6339</v>
      </c>
      <c r="G220" s="1" t="s">
        <v>26</v>
      </c>
      <c r="H220" s="1" t="s">
        <v>5102</v>
      </c>
      <c r="I220" s="1" t="s">
        <v>18</v>
      </c>
      <c r="J220" s="1" t="s">
        <v>5071</v>
      </c>
      <c r="K220" s="6" t="s">
        <v>6340</v>
      </c>
      <c r="L220" s="6" t="s">
        <v>6341</v>
      </c>
      <c r="M220" s="1" t="s">
        <v>6342</v>
      </c>
      <c r="O220" s="5">
        <v>42005.0</v>
      </c>
      <c r="R220" s="1" t="b">
        <v>0</v>
      </c>
      <c r="S220" s="1">
        <v>0.0</v>
      </c>
      <c r="T220" s="1">
        <v>4272.0</v>
      </c>
      <c r="U220" s="1" t="b">
        <v>0</v>
      </c>
      <c r="V220" s="1" t="s">
        <v>6336</v>
      </c>
      <c r="W220" s="1" t="s">
        <v>6337</v>
      </c>
      <c r="X220" s="1">
        <v>200.0</v>
      </c>
      <c r="Z220" s="1" t="s">
        <v>445</v>
      </c>
      <c r="AA220" s="1" t="s">
        <v>6332</v>
      </c>
      <c r="AG220" s="5">
        <v>43298.0</v>
      </c>
    </row>
    <row r="221">
      <c r="A221" s="1">
        <v>4280.0</v>
      </c>
      <c r="B221" s="1">
        <v>0.0</v>
      </c>
      <c r="C221" s="1" t="s">
        <v>6343</v>
      </c>
      <c r="D221" s="1" t="s">
        <v>5068</v>
      </c>
      <c r="F221" s="1" t="s">
        <v>6344</v>
      </c>
      <c r="G221" s="1" t="s">
        <v>26</v>
      </c>
      <c r="H221" s="1" t="s">
        <v>5070</v>
      </c>
      <c r="I221" s="1" t="s">
        <v>18</v>
      </c>
      <c r="J221" s="1" t="s">
        <v>5071</v>
      </c>
      <c r="K221" s="1" t="s">
        <v>5072</v>
      </c>
      <c r="L221" s="6" t="s">
        <v>6345</v>
      </c>
      <c r="M221" s="1" t="s">
        <v>6346</v>
      </c>
      <c r="O221" s="5">
        <v>42405.0</v>
      </c>
      <c r="R221" s="1" t="b">
        <v>0</v>
      </c>
      <c r="S221" s="1">
        <v>0.0</v>
      </c>
      <c r="T221" s="1">
        <v>3756.0</v>
      </c>
      <c r="U221" s="1" t="b">
        <v>0</v>
      </c>
      <c r="V221" s="1" t="s">
        <v>6347</v>
      </c>
      <c r="Y221" s="1" t="s">
        <v>5075</v>
      </c>
      <c r="Z221" s="1" t="s">
        <v>5076</v>
      </c>
      <c r="AE221" s="6" t="s">
        <v>6348</v>
      </c>
      <c r="AG221" s="5">
        <v>43047.0</v>
      </c>
    </row>
    <row r="222">
      <c r="A222" s="1">
        <v>173049.0</v>
      </c>
      <c r="B222" s="1">
        <v>0.0</v>
      </c>
      <c r="C222" s="1" t="s">
        <v>6349</v>
      </c>
      <c r="D222" s="1" t="s">
        <v>5081</v>
      </c>
      <c r="F222" s="1" t="s">
        <v>6350</v>
      </c>
      <c r="G222" s="1" t="s">
        <v>26</v>
      </c>
      <c r="H222" s="1" t="s">
        <v>5070</v>
      </c>
      <c r="I222" s="1" t="s">
        <v>18</v>
      </c>
      <c r="J222" s="1" t="s">
        <v>5071</v>
      </c>
      <c r="K222" s="1" t="s">
        <v>5072</v>
      </c>
      <c r="L222" s="6" t="s">
        <v>6351</v>
      </c>
      <c r="M222" s="1" t="s">
        <v>6352</v>
      </c>
      <c r="O222" s="5">
        <v>42405.0</v>
      </c>
      <c r="R222" s="1" t="b">
        <v>0</v>
      </c>
      <c r="S222" s="1">
        <v>0.0</v>
      </c>
      <c r="T222" s="1">
        <v>3756.0</v>
      </c>
      <c r="U222" s="1" t="b">
        <v>0</v>
      </c>
      <c r="V222" s="1" t="s">
        <v>6347</v>
      </c>
      <c r="Z222" s="1" t="s">
        <v>5076</v>
      </c>
      <c r="AA222" s="1" t="s">
        <v>6344</v>
      </c>
      <c r="AE222" s="6" t="s">
        <v>6353</v>
      </c>
      <c r="AG222" s="5">
        <v>43298.0</v>
      </c>
    </row>
    <row r="223">
      <c r="A223" s="1">
        <v>4322.0</v>
      </c>
      <c r="B223" s="1">
        <v>0.0</v>
      </c>
      <c r="C223" s="1" t="s">
        <v>487</v>
      </c>
      <c r="D223" s="1" t="s">
        <v>5068</v>
      </c>
      <c r="E223" s="5">
        <v>44183.0</v>
      </c>
      <c r="F223" s="1" t="s">
        <v>6354</v>
      </c>
      <c r="G223" s="1" t="s">
        <v>26</v>
      </c>
      <c r="H223" s="1" t="s">
        <v>5102</v>
      </c>
      <c r="I223" s="1" t="s">
        <v>18</v>
      </c>
      <c r="J223" s="1" t="s">
        <v>66</v>
      </c>
      <c r="K223" s="6" t="s">
        <v>6355</v>
      </c>
      <c r="L223" s="6" t="s">
        <v>6356</v>
      </c>
      <c r="M223" s="1" t="s">
        <v>6357</v>
      </c>
      <c r="O223" s="5">
        <v>27760.0</v>
      </c>
      <c r="R223" s="1" t="b">
        <v>0</v>
      </c>
      <c r="S223" s="1">
        <v>0.0</v>
      </c>
      <c r="U223" s="1" t="b">
        <v>0</v>
      </c>
      <c r="V223" s="1" t="s">
        <v>6004</v>
      </c>
      <c r="W223" s="1" t="s">
        <v>6358</v>
      </c>
      <c r="X223" s="1">
        <v>200.0</v>
      </c>
      <c r="AG223" s="5">
        <v>43055.0</v>
      </c>
    </row>
    <row r="224">
      <c r="A224" s="1">
        <v>4327.0</v>
      </c>
      <c r="B224" s="1">
        <v>0.0</v>
      </c>
      <c r="C224" s="1" t="s">
        <v>6359</v>
      </c>
      <c r="D224" s="1" t="s">
        <v>5068</v>
      </c>
      <c r="E224" s="5">
        <v>43635.0</v>
      </c>
      <c r="F224" s="1" t="s">
        <v>6360</v>
      </c>
      <c r="G224" s="1" t="s">
        <v>26</v>
      </c>
      <c r="H224" s="1" t="s">
        <v>5102</v>
      </c>
      <c r="I224" s="1" t="s">
        <v>18</v>
      </c>
      <c r="J224" s="1" t="s">
        <v>66</v>
      </c>
      <c r="K224" s="1" t="s">
        <v>5072</v>
      </c>
      <c r="L224" s="6" t="s">
        <v>6361</v>
      </c>
      <c r="M224" s="1" t="s">
        <v>6362</v>
      </c>
      <c r="O224" s="5">
        <v>42005.0</v>
      </c>
      <c r="R224" s="1" t="b">
        <v>0</v>
      </c>
      <c r="S224" s="1">
        <v>0.0</v>
      </c>
      <c r="T224" s="1">
        <v>4322.0</v>
      </c>
      <c r="U224" s="1" t="b">
        <v>0</v>
      </c>
      <c r="V224" s="1" t="s">
        <v>6125</v>
      </c>
      <c r="X224" s="1">
        <v>200.0</v>
      </c>
      <c r="Z224" s="1" t="s">
        <v>6354</v>
      </c>
      <c r="AG224" s="5">
        <v>43055.0</v>
      </c>
    </row>
    <row r="225">
      <c r="A225" s="1">
        <v>4332.0</v>
      </c>
      <c r="B225" s="1">
        <v>0.0</v>
      </c>
      <c r="C225" s="1" t="s">
        <v>6363</v>
      </c>
      <c r="D225" s="1" t="s">
        <v>5068</v>
      </c>
      <c r="F225" s="1" t="s">
        <v>6364</v>
      </c>
      <c r="G225" s="1" t="s">
        <v>26</v>
      </c>
      <c r="H225" s="1" t="s">
        <v>5102</v>
      </c>
      <c r="I225" s="1" t="s">
        <v>18</v>
      </c>
      <c r="J225" s="1" t="s">
        <v>1105</v>
      </c>
      <c r="K225" s="1" t="s">
        <v>5072</v>
      </c>
      <c r="L225" s="6" t="s">
        <v>6365</v>
      </c>
      <c r="M225" s="1" t="s">
        <v>6366</v>
      </c>
      <c r="O225" s="5">
        <v>41275.0</v>
      </c>
      <c r="R225" s="1" t="b">
        <v>0</v>
      </c>
      <c r="S225" s="1">
        <v>0.0</v>
      </c>
      <c r="T225" s="1">
        <v>4343.0</v>
      </c>
      <c r="U225" s="1" t="b">
        <v>0</v>
      </c>
      <c r="V225" s="1" t="s">
        <v>6367</v>
      </c>
      <c r="X225" s="1">
        <v>200.0</v>
      </c>
      <c r="Z225" s="1" t="s">
        <v>6368</v>
      </c>
      <c r="AG225" s="5">
        <v>43059.0</v>
      </c>
    </row>
    <row r="226">
      <c r="A226" s="1">
        <v>4343.0</v>
      </c>
      <c r="B226" s="1">
        <v>0.0</v>
      </c>
      <c r="C226" s="1" t="s">
        <v>6369</v>
      </c>
      <c r="D226" s="1" t="s">
        <v>5068</v>
      </c>
      <c r="E226" s="5">
        <v>43585.0</v>
      </c>
      <c r="F226" s="1" t="s">
        <v>6368</v>
      </c>
      <c r="G226" s="1" t="s">
        <v>26</v>
      </c>
      <c r="H226" s="1" t="s">
        <v>5102</v>
      </c>
      <c r="I226" s="1" t="s">
        <v>18</v>
      </c>
      <c r="J226" s="1" t="s">
        <v>1105</v>
      </c>
      <c r="K226" s="1" t="s">
        <v>5072</v>
      </c>
      <c r="L226" s="6" t="s">
        <v>6370</v>
      </c>
      <c r="M226" s="1" t="s">
        <v>6371</v>
      </c>
      <c r="O226" s="5">
        <v>37257.0</v>
      </c>
      <c r="R226" s="1" t="b">
        <v>0</v>
      </c>
      <c r="S226" s="1">
        <v>0.0</v>
      </c>
      <c r="U226" s="1" t="b">
        <v>0</v>
      </c>
      <c r="V226" s="1" t="s">
        <v>6372</v>
      </c>
      <c r="X226" s="1">
        <v>200.0</v>
      </c>
      <c r="AG226" s="5">
        <v>43061.0</v>
      </c>
    </row>
    <row r="227">
      <c r="A227" s="1">
        <v>4403.0</v>
      </c>
      <c r="B227" s="1">
        <v>0.0</v>
      </c>
      <c r="C227" s="1" t="s">
        <v>6373</v>
      </c>
      <c r="D227" s="1" t="s">
        <v>5068</v>
      </c>
      <c r="E227" s="5">
        <v>44103.0</v>
      </c>
      <c r="F227" s="1" t="s">
        <v>6374</v>
      </c>
      <c r="G227" s="1" t="s">
        <v>26</v>
      </c>
      <c r="H227" s="1" t="s">
        <v>5419</v>
      </c>
      <c r="I227" s="1" t="s">
        <v>18</v>
      </c>
      <c r="J227" s="1" t="s">
        <v>5071</v>
      </c>
      <c r="K227" s="6" t="s">
        <v>6375</v>
      </c>
      <c r="L227" s="6" t="s">
        <v>6376</v>
      </c>
      <c r="M227" s="1" t="s">
        <v>6377</v>
      </c>
      <c r="O227" s="5">
        <v>43011.0</v>
      </c>
      <c r="P227" s="5">
        <v>43011.0</v>
      </c>
      <c r="R227" s="1" t="b">
        <v>0</v>
      </c>
      <c r="S227" s="1">
        <v>0.0</v>
      </c>
      <c r="T227" s="1">
        <v>3749.0</v>
      </c>
      <c r="U227" s="1" t="b">
        <v>0</v>
      </c>
      <c r="V227" s="1" t="s">
        <v>6378</v>
      </c>
      <c r="W227" s="1" t="s">
        <v>6379</v>
      </c>
      <c r="Y227" s="1" t="s">
        <v>5075</v>
      </c>
      <c r="Z227" s="1" t="s">
        <v>5690</v>
      </c>
      <c r="AC227" s="1" t="s">
        <v>5077</v>
      </c>
      <c r="AD227" s="1" t="s">
        <v>5093</v>
      </c>
      <c r="AG227" s="5">
        <v>43069.0</v>
      </c>
      <c r="AH227" s="1">
        <v>200801.0</v>
      </c>
    </row>
    <row r="228">
      <c r="A228" s="1">
        <v>173129.0</v>
      </c>
      <c r="B228" s="1">
        <v>0.0</v>
      </c>
      <c r="C228" s="1" t="s">
        <v>6380</v>
      </c>
      <c r="D228" s="1" t="s">
        <v>5081</v>
      </c>
      <c r="E228" s="5">
        <v>44103.0</v>
      </c>
      <c r="F228" s="1" t="s">
        <v>6381</v>
      </c>
      <c r="G228" s="1" t="s">
        <v>26</v>
      </c>
      <c r="H228" s="1" t="s">
        <v>5419</v>
      </c>
      <c r="I228" s="1" t="s">
        <v>18</v>
      </c>
      <c r="J228" s="1" t="s">
        <v>5071</v>
      </c>
      <c r="K228" s="1" t="s">
        <v>5072</v>
      </c>
      <c r="L228" s="6" t="s">
        <v>6382</v>
      </c>
      <c r="M228" s="1" t="s">
        <v>6383</v>
      </c>
      <c r="O228" s="5">
        <v>43011.0</v>
      </c>
      <c r="P228" s="5">
        <v>43011.0</v>
      </c>
      <c r="R228" s="1" t="b">
        <v>0</v>
      </c>
      <c r="S228" s="1">
        <v>0.0</v>
      </c>
      <c r="T228" s="1">
        <v>3749.0</v>
      </c>
      <c r="U228" s="1" t="b">
        <v>0</v>
      </c>
      <c r="V228" s="1" t="s">
        <v>6378</v>
      </c>
      <c r="W228" s="1" t="s">
        <v>6379</v>
      </c>
      <c r="Z228" s="1" t="s">
        <v>5690</v>
      </c>
      <c r="AA228" s="1" t="s">
        <v>6374</v>
      </c>
      <c r="AG228" s="5">
        <v>43298.0</v>
      </c>
    </row>
    <row r="229">
      <c r="A229" s="1">
        <v>4415.0</v>
      </c>
      <c r="B229" s="1">
        <v>1.0</v>
      </c>
      <c r="C229" s="1" t="s">
        <v>292</v>
      </c>
      <c r="D229" s="1" t="s">
        <v>5068</v>
      </c>
      <c r="E229" s="5">
        <v>44796.0</v>
      </c>
      <c r="F229" s="1" t="s">
        <v>293</v>
      </c>
      <c r="G229" s="1" t="s">
        <v>26</v>
      </c>
      <c r="H229" s="1" t="s">
        <v>5419</v>
      </c>
      <c r="I229" s="1" t="s">
        <v>18</v>
      </c>
      <c r="J229" s="1" t="s">
        <v>21</v>
      </c>
      <c r="K229" s="6" t="s">
        <v>6384</v>
      </c>
      <c r="L229" s="6" t="s">
        <v>6385</v>
      </c>
      <c r="M229" s="1" t="s">
        <v>6386</v>
      </c>
      <c r="R229" s="1" t="b">
        <v>0</v>
      </c>
      <c r="S229" s="1">
        <v>0.0</v>
      </c>
      <c r="T229" s="1">
        <v>3711.0</v>
      </c>
      <c r="U229" s="1" t="b">
        <v>0</v>
      </c>
      <c r="V229" s="1" t="s">
        <v>6004</v>
      </c>
      <c r="W229" s="1" t="s">
        <v>6387</v>
      </c>
      <c r="X229" s="1">
        <v>200.0</v>
      </c>
      <c r="Y229" s="1" t="s">
        <v>5142</v>
      </c>
      <c r="Z229" s="1" t="s">
        <v>752</v>
      </c>
      <c r="AC229" s="1" t="s">
        <v>5077</v>
      </c>
      <c r="AD229" s="1" t="s">
        <v>5093</v>
      </c>
      <c r="AG229" s="5">
        <v>43117.0</v>
      </c>
      <c r="AH229" s="1">
        <v>361501.0</v>
      </c>
    </row>
    <row r="230">
      <c r="A230" s="1">
        <v>4417.0</v>
      </c>
      <c r="B230" s="1">
        <v>0.0</v>
      </c>
      <c r="C230" s="1" t="s">
        <v>6388</v>
      </c>
      <c r="D230" s="1" t="s">
        <v>5068</v>
      </c>
      <c r="E230" s="5">
        <v>44294.0</v>
      </c>
      <c r="F230" s="1" t="s">
        <v>6389</v>
      </c>
      <c r="G230" s="1" t="s">
        <v>5115</v>
      </c>
      <c r="H230" s="1" t="s">
        <v>5419</v>
      </c>
      <c r="I230" s="1" t="s">
        <v>18</v>
      </c>
      <c r="J230" s="1" t="s">
        <v>21</v>
      </c>
      <c r="K230" s="6" t="s">
        <v>6390</v>
      </c>
      <c r="L230" s="6" t="s">
        <v>6391</v>
      </c>
      <c r="M230" s="1" t="s">
        <v>6392</v>
      </c>
      <c r="O230" s="5">
        <v>42417.0</v>
      </c>
      <c r="P230" s="5">
        <v>42417.0</v>
      </c>
      <c r="R230" s="1" t="b">
        <v>0</v>
      </c>
      <c r="S230" s="1">
        <v>0.0</v>
      </c>
      <c r="T230" s="1">
        <v>3711.0</v>
      </c>
      <c r="U230" s="1" t="b">
        <v>0</v>
      </c>
      <c r="V230" s="1" t="s">
        <v>5153</v>
      </c>
      <c r="W230" s="1" t="s">
        <v>6393</v>
      </c>
      <c r="X230" s="1">
        <v>200.0</v>
      </c>
      <c r="Y230" s="1" t="s">
        <v>5142</v>
      </c>
      <c r="Z230" s="1" t="s">
        <v>752</v>
      </c>
      <c r="AC230" s="1" t="s">
        <v>5077</v>
      </c>
      <c r="AD230" s="1" t="s">
        <v>5093</v>
      </c>
      <c r="AG230" s="5">
        <v>43118.0</v>
      </c>
      <c r="AH230" s="1">
        <v>295418.0</v>
      </c>
    </row>
    <row r="231">
      <c r="A231" s="1">
        <v>4424.0</v>
      </c>
      <c r="B231" s="1">
        <v>1.0</v>
      </c>
      <c r="C231" s="1" t="s">
        <v>193</v>
      </c>
      <c r="D231" s="1" t="s">
        <v>5068</v>
      </c>
      <c r="E231" s="5">
        <v>44853.0</v>
      </c>
      <c r="F231" s="1" t="s">
        <v>194</v>
      </c>
      <c r="G231" s="1" t="s">
        <v>26</v>
      </c>
      <c r="H231" s="1" t="s">
        <v>5419</v>
      </c>
      <c r="I231" s="1" t="s">
        <v>18</v>
      </c>
      <c r="J231" s="1" t="s">
        <v>21</v>
      </c>
      <c r="K231" s="6" t="s">
        <v>6394</v>
      </c>
      <c r="L231" s="6" t="s">
        <v>6395</v>
      </c>
      <c r="M231" s="1" t="s">
        <v>6396</v>
      </c>
      <c r="O231" s="5">
        <v>43440.0</v>
      </c>
      <c r="R231" s="1" t="b">
        <v>0</v>
      </c>
      <c r="S231" s="1">
        <v>0.0</v>
      </c>
      <c r="T231" s="1">
        <v>609.0</v>
      </c>
      <c r="U231" s="1" t="b">
        <v>0</v>
      </c>
      <c r="V231" s="1" t="s">
        <v>6397</v>
      </c>
      <c r="W231" s="1" t="s">
        <v>6398</v>
      </c>
      <c r="X231" s="1">
        <v>200.0</v>
      </c>
      <c r="Y231" s="1" t="s">
        <v>5142</v>
      </c>
      <c r="Z231" s="1" t="s">
        <v>758</v>
      </c>
      <c r="AC231" s="1" t="s">
        <v>5077</v>
      </c>
      <c r="AD231" s="1" t="s">
        <v>5093</v>
      </c>
      <c r="AG231" s="5">
        <v>43130.0</v>
      </c>
      <c r="AH231" s="1">
        <v>366823.0</v>
      </c>
    </row>
    <row r="232">
      <c r="A232" s="1">
        <v>4425.0</v>
      </c>
      <c r="B232" s="1">
        <v>1.0</v>
      </c>
      <c r="C232" s="1" t="s">
        <v>196</v>
      </c>
      <c r="D232" s="1" t="s">
        <v>5068</v>
      </c>
      <c r="E232" s="5">
        <v>44853.0</v>
      </c>
      <c r="F232" s="1" t="s">
        <v>197</v>
      </c>
      <c r="G232" s="1" t="s">
        <v>26</v>
      </c>
      <c r="H232" s="1" t="s">
        <v>5419</v>
      </c>
      <c r="I232" s="1" t="s">
        <v>18</v>
      </c>
      <c r="J232" s="1" t="s">
        <v>21</v>
      </c>
      <c r="K232" s="6" t="s">
        <v>6399</v>
      </c>
      <c r="L232" s="6" t="s">
        <v>6400</v>
      </c>
      <c r="M232" s="1" t="s">
        <v>6401</v>
      </c>
      <c r="O232" s="5">
        <v>43440.0</v>
      </c>
      <c r="R232" s="1" t="b">
        <v>0</v>
      </c>
      <c r="S232" s="1">
        <v>0.0</v>
      </c>
      <c r="T232" s="1">
        <v>3711.0</v>
      </c>
      <c r="U232" s="1" t="b">
        <v>0</v>
      </c>
      <c r="V232" s="1" t="s">
        <v>5688</v>
      </c>
      <c r="W232" s="1" t="s">
        <v>6402</v>
      </c>
      <c r="X232" s="1">
        <v>200.0</v>
      </c>
      <c r="Y232" s="1" t="s">
        <v>5142</v>
      </c>
      <c r="Z232" s="1" t="s">
        <v>752</v>
      </c>
      <c r="AC232" s="1" t="s">
        <v>5077</v>
      </c>
      <c r="AD232" s="1" t="s">
        <v>5093</v>
      </c>
      <c r="AG232" s="5">
        <v>43130.0</v>
      </c>
      <c r="AH232" s="1">
        <v>366824.0</v>
      </c>
    </row>
    <row r="233">
      <c r="A233" s="1">
        <v>4427.0</v>
      </c>
      <c r="B233" s="1">
        <v>0.0</v>
      </c>
      <c r="C233" s="1" t="s">
        <v>6403</v>
      </c>
      <c r="D233" s="1" t="s">
        <v>5068</v>
      </c>
      <c r="F233" s="1" t="s">
        <v>6404</v>
      </c>
      <c r="G233" s="1" t="s">
        <v>6405</v>
      </c>
      <c r="H233" s="1" t="s">
        <v>5419</v>
      </c>
      <c r="I233" s="1" t="s">
        <v>18</v>
      </c>
      <c r="J233" s="1" t="s">
        <v>21</v>
      </c>
      <c r="K233" s="6" t="s">
        <v>6406</v>
      </c>
      <c r="L233" s="6" t="s">
        <v>6407</v>
      </c>
      <c r="M233" s="1" t="s">
        <v>6408</v>
      </c>
      <c r="O233" s="5">
        <v>39814.0</v>
      </c>
      <c r="R233" s="1" t="b">
        <v>0</v>
      </c>
      <c r="S233" s="1">
        <v>0.0</v>
      </c>
      <c r="U233" s="1" t="b">
        <v>0</v>
      </c>
      <c r="V233" s="1" t="s">
        <v>5688</v>
      </c>
      <c r="W233" s="1" t="s">
        <v>6409</v>
      </c>
      <c r="Y233" s="1" t="s">
        <v>5075</v>
      </c>
      <c r="AC233" s="1" t="s">
        <v>5077</v>
      </c>
      <c r="AD233" s="1" t="s">
        <v>5093</v>
      </c>
      <c r="AG233" s="5">
        <v>43143.0</v>
      </c>
      <c r="AH233" s="1">
        <v>2696.0</v>
      </c>
    </row>
    <row r="234">
      <c r="A234" s="1">
        <v>4462.0</v>
      </c>
      <c r="B234" s="1">
        <v>1.0</v>
      </c>
      <c r="C234" s="1" t="s">
        <v>269</v>
      </c>
      <c r="D234" s="1" t="s">
        <v>5068</v>
      </c>
      <c r="E234" s="5">
        <v>44803.0</v>
      </c>
      <c r="F234" s="1" t="s">
        <v>270</v>
      </c>
      <c r="G234" s="1" t="s">
        <v>26</v>
      </c>
      <c r="H234" s="1" t="s">
        <v>5102</v>
      </c>
      <c r="I234" s="1" t="s">
        <v>18</v>
      </c>
      <c r="J234" s="1" t="s">
        <v>24</v>
      </c>
      <c r="K234" s="6" t="s">
        <v>6410</v>
      </c>
      <c r="L234" s="6" t="s">
        <v>6411</v>
      </c>
      <c r="M234" s="1" t="s">
        <v>6412</v>
      </c>
      <c r="O234" s="5">
        <v>42736.0</v>
      </c>
      <c r="R234" s="1" t="b">
        <v>0</v>
      </c>
      <c r="S234" s="1">
        <v>0.0</v>
      </c>
      <c r="T234" s="1">
        <v>401.0</v>
      </c>
      <c r="U234" s="1" t="b">
        <v>0</v>
      </c>
      <c r="V234" s="1" t="s">
        <v>5663</v>
      </c>
      <c r="W234" s="1" t="s">
        <v>6413</v>
      </c>
      <c r="X234" s="1">
        <v>200.0</v>
      </c>
      <c r="Y234" s="1" t="s">
        <v>5075</v>
      </c>
      <c r="Z234" s="1" t="s">
        <v>5162</v>
      </c>
      <c r="AC234" s="1" t="s">
        <v>5077</v>
      </c>
      <c r="AD234" s="1" t="s">
        <v>5093</v>
      </c>
      <c r="AG234" s="5">
        <v>43161.0</v>
      </c>
      <c r="AH234" s="1">
        <v>328065.0</v>
      </c>
    </row>
    <row r="235">
      <c r="A235" s="1">
        <v>4466.0</v>
      </c>
      <c r="B235" s="1">
        <v>1.0</v>
      </c>
      <c r="C235" s="1" t="s">
        <v>297</v>
      </c>
      <c r="D235" s="1" t="s">
        <v>5068</v>
      </c>
      <c r="E235" s="5">
        <v>44805.0</v>
      </c>
      <c r="F235" s="1" t="s">
        <v>298</v>
      </c>
      <c r="G235" s="1" t="s">
        <v>26</v>
      </c>
      <c r="H235" s="1" t="s">
        <v>5419</v>
      </c>
      <c r="I235" s="1" t="s">
        <v>18</v>
      </c>
      <c r="J235" s="1" t="s">
        <v>21</v>
      </c>
      <c r="K235" s="6" t="s">
        <v>6414</v>
      </c>
      <c r="L235" s="6" t="s">
        <v>6415</v>
      </c>
      <c r="M235" s="1" t="s">
        <v>6416</v>
      </c>
      <c r="R235" s="1" t="b">
        <v>0</v>
      </c>
      <c r="S235" s="1">
        <v>0.0</v>
      </c>
      <c r="T235" s="1">
        <v>3711.0</v>
      </c>
      <c r="U235" s="1" t="b">
        <v>0</v>
      </c>
      <c r="V235" s="1" t="s">
        <v>6417</v>
      </c>
      <c r="W235" s="1" t="s">
        <v>6418</v>
      </c>
      <c r="X235" s="1">
        <v>200.0</v>
      </c>
      <c r="Y235" s="1" t="s">
        <v>5142</v>
      </c>
      <c r="Z235" s="1" t="s">
        <v>752</v>
      </c>
      <c r="AC235" s="1" t="s">
        <v>5077</v>
      </c>
      <c r="AD235" s="1" t="s">
        <v>5093</v>
      </c>
      <c r="AG235" s="5">
        <v>43180.0</v>
      </c>
      <c r="AH235" s="1">
        <v>361513.0</v>
      </c>
    </row>
    <row r="236">
      <c r="A236" s="1">
        <v>4467.0</v>
      </c>
      <c r="B236" s="1">
        <v>0.0</v>
      </c>
      <c r="C236" s="1" t="s">
        <v>6419</v>
      </c>
      <c r="D236" s="1" t="s">
        <v>5068</v>
      </c>
      <c r="F236" s="1" t="s">
        <v>6420</v>
      </c>
      <c r="G236" s="1" t="s">
        <v>26</v>
      </c>
      <c r="H236" s="1" t="s">
        <v>5419</v>
      </c>
      <c r="I236" s="1" t="s">
        <v>356</v>
      </c>
      <c r="J236" s="1" t="s">
        <v>21</v>
      </c>
      <c r="K236" s="1" t="s">
        <v>5072</v>
      </c>
      <c r="L236" s="6" t="s">
        <v>6421</v>
      </c>
      <c r="M236" s="1" t="s">
        <v>6422</v>
      </c>
      <c r="R236" s="1" t="b">
        <v>0</v>
      </c>
      <c r="S236" s="1">
        <v>0.0</v>
      </c>
      <c r="T236" s="1">
        <v>3711.0</v>
      </c>
      <c r="U236" s="1" t="b">
        <v>0</v>
      </c>
      <c r="V236" s="1" t="s">
        <v>6423</v>
      </c>
      <c r="W236" s="1" t="s">
        <v>6424</v>
      </c>
      <c r="X236" s="1">
        <v>200.0</v>
      </c>
      <c r="Z236" s="1" t="s">
        <v>752</v>
      </c>
      <c r="AC236" s="1" t="s">
        <v>5077</v>
      </c>
      <c r="AD236" s="1" t="s">
        <v>5093</v>
      </c>
      <c r="AG236" s="5">
        <v>43180.0</v>
      </c>
      <c r="AH236" s="1">
        <v>2681.0</v>
      </c>
    </row>
    <row r="237">
      <c r="A237" s="1">
        <v>4468.0</v>
      </c>
      <c r="B237" s="1">
        <v>1.0</v>
      </c>
      <c r="C237" s="1" t="s">
        <v>6425</v>
      </c>
      <c r="D237" s="1" t="s">
        <v>5068</v>
      </c>
      <c r="F237" s="1" t="s">
        <v>6426</v>
      </c>
      <c r="G237" s="1" t="s">
        <v>26</v>
      </c>
      <c r="H237" s="1" t="s">
        <v>5419</v>
      </c>
      <c r="I237" s="1" t="s">
        <v>18</v>
      </c>
      <c r="J237" s="1" t="s">
        <v>21</v>
      </c>
      <c r="K237" s="6" t="s">
        <v>6427</v>
      </c>
      <c r="L237" s="6" t="s">
        <v>6428</v>
      </c>
      <c r="M237" s="1" t="s">
        <v>6429</v>
      </c>
      <c r="R237" s="1" t="b">
        <v>0</v>
      </c>
      <c r="S237" s="1">
        <v>0.0</v>
      </c>
      <c r="T237" s="1">
        <v>3709.0</v>
      </c>
      <c r="U237" s="1" t="b">
        <v>0</v>
      </c>
      <c r="V237" s="1" t="s">
        <v>5843</v>
      </c>
      <c r="W237" s="1" t="s">
        <v>6430</v>
      </c>
      <c r="X237" s="1">
        <v>200.0</v>
      </c>
      <c r="Y237" s="1" t="s">
        <v>5142</v>
      </c>
      <c r="Z237" s="1" t="s">
        <v>756</v>
      </c>
      <c r="AC237" s="1" t="s">
        <v>5077</v>
      </c>
      <c r="AD237" s="1" t="s">
        <v>5093</v>
      </c>
      <c r="AG237" s="5">
        <v>43181.0</v>
      </c>
      <c r="AH237" s="1">
        <v>2682.0</v>
      </c>
    </row>
    <row r="238">
      <c r="A238" s="1">
        <v>4469.0</v>
      </c>
      <c r="B238" s="1">
        <v>0.0</v>
      </c>
      <c r="C238" s="1" t="s">
        <v>6431</v>
      </c>
      <c r="D238" s="1" t="s">
        <v>5068</v>
      </c>
      <c r="F238" s="1" t="s">
        <v>6432</v>
      </c>
      <c r="G238" s="1" t="s">
        <v>5115</v>
      </c>
      <c r="H238" s="1" t="s">
        <v>5608</v>
      </c>
      <c r="I238" s="1" t="s">
        <v>18</v>
      </c>
      <c r="J238" s="1" t="s">
        <v>21</v>
      </c>
      <c r="K238" s="6" t="s">
        <v>6433</v>
      </c>
      <c r="L238" s="6" t="s">
        <v>6434</v>
      </c>
      <c r="M238" s="1" t="s">
        <v>6435</v>
      </c>
      <c r="R238" s="1" t="b">
        <v>0</v>
      </c>
      <c r="S238" s="1">
        <v>0.0</v>
      </c>
      <c r="T238" s="1">
        <v>63.0</v>
      </c>
      <c r="U238" s="1" t="b">
        <v>0</v>
      </c>
      <c r="V238" s="1" t="s">
        <v>5422</v>
      </c>
      <c r="W238" s="1" t="s">
        <v>6436</v>
      </c>
      <c r="X238" s="1">
        <v>200.0</v>
      </c>
      <c r="Y238" s="1" t="s">
        <v>5075</v>
      </c>
      <c r="Z238" s="1" t="s">
        <v>4711</v>
      </c>
      <c r="AG238" s="5">
        <v>43186.0</v>
      </c>
    </row>
    <row r="239">
      <c r="A239" s="1">
        <v>4503.0</v>
      </c>
      <c r="B239" s="1">
        <v>1.0</v>
      </c>
      <c r="C239" s="1" t="s">
        <v>6437</v>
      </c>
      <c r="D239" s="1" t="s">
        <v>5068</v>
      </c>
      <c r="E239" s="5">
        <v>44135.0</v>
      </c>
      <c r="F239" s="1" t="s">
        <v>6438</v>
      </c>
      <c r="G239" s="1" t="s">
        <v>26</v>
      </c>
      <c r="H239" s="1" t="s">
        <v>5102</v>
      </c>
      <c r="I239" s="1" t="s">
        <v>18</v>
      </c>
      <c r="J239" s="1" t="s">
        <v>21</v>
      </c>
      <c r="K239" s="6" t="s">
        <v>6439</v>
      </c>
      <c r="L239" s="6" t="s">
        <v>6440</v>
      </c>
      <c r="M239" s="1" t="s">
        <v>6441</v>
      </c>
      <c r="O239" s="5">
        <v>36526.0</v>
      </c>
      <c r="R239" s="1" t="b">
        <v>0</v>
      </c>
      <c r="S239" s="1">
        <v>0.0</v>
      </c>
      <c r="U239" s="1" t="b">
        <v>0</v>
      </c>
      <c r="V239" s="1" t="s">
        <v>5182</v>
      </c>
      <c r="W239" s="1" t="s">
        <v>6442</v>
      </c>
      <c r="X239" s="1">
        <v>200.0</v>
      </c>
      <c r="Y239" s="1" t="s">
        <v>5075</v>
      </c>
      <c r="AC239" s="1" t="s">
        <v>5077</v>
      </c>
      <c r="AD239" s="1" t="s">
        <v>5093</v>
      </c>
      <c r="AG239" s="5">
        <v>43189.0</v>
      </c>
      <c r="AH239" s="1">
        <v>279209.0</v>
      </c>
    </row>
    <row r="240">
      <c r="A240" s="1">
        <v>4504.0</v>
      </c>
      <c r="B240" s="1">
        <v>1.0</v>
      </c>
      <c r="C240" s="1" t="s">
        <v>113</v>
      </c>
      <c r="D240" s="1" t="s">
        <v>5068</v>
      </c>
      <c r="E240" s="5">
        <v>44880.0</v>
      </c>
      <c r="F240" s="1" t="s">
        <v>114</v>
      </c>
      <c r="G240" s="1" t="s">
        <v>26</v>
      </c>
      <c r="H240" s="1" t="s">
        <v>5102</v>
      </c>
      <c r="I240" s="1" t="s">
        <v>18</v>
      </c>
      <c r="J240" s="1" t="s">
        <v>21</v>
      </c>
      <c r="K240" s="6" t="s">
        <v>6443</v>
      </c>
      <c r="L240" s="6" t="s">
        <v>6444</v>
      </c>
      <c r="M240" s="1" t="s">
        <v>6445</v>
      </c>
      <c r="O240" s="5">
        <v>32143.0</v>
      </c>
      <c r="R240" s="1" t="b">
        <v>0</v>
      </c>
      <c r="S240" s="1">
        <v>0.0</v>
      </c>
      <c r="T240" s="1">
        <v>4503.0</v>
      </c>
      <c r="U240" s="1" t="b">
        <v>0</v>
      </c>
      <c r="V240" s="1" t="s">
        <v>6446</v>
      </c>
      <c r="W240" s="1" t="s">
        <v>6447</v>
      </c>
      <c r="X240" s="1">
        <v>200.0</v>
      </c>
      <c r="Y240" s="1" t="s">
        <v>5142</v>
      </c>
      <c r="Z240" s="1" t="s">
        <v>6438</v>
      </c>
      <c r="AC240" s="1" t="s">
        <v>5077</v>
      </c>
      <c r="AD240" s="1" t="s">
        <v>5093</v>
      </c>
      <c r="AG240" s="5">
        <v>43189.0</v>
      </c>
      <c r="AH240" s="1">
        <v>370777.0</v>
      </c>
    </row>
    <row r="241">
      <c r="A241" s="1">
        <v>4505.0</v>
      </c>
      <c r="B241" s="1">
        <v>0.0</v>
      </c>
      <c r="C241" s="1" t="s">
        <v>6448</v>
      </c>
      <c r="D241" s="1" t="s">
        <v>5068</v>
      </c>
      <c r="F241" s="1" t="s">
        <v>5857</v>
      </c>
      <c r="G241" s="1" t="s">
        <v>26</v>
      </c>
      <c r="H241" s="1" t="s">
        <v>5102</v>
      </c>
      <c r="I241" s="1" t="s">
        <v>356</v>
      </c>
      <c r="J241" s="1" t="s">
        <v>21</v>
      </c>
      <c r="K241" s="6" t="s">
        <v>6449</v>
      </c>
      <c r="L241" s="6" t="s">
        <v>6450</v>
      </c>
      <c r="M241" s="1" t="s">
        <v>6451</v>
      </c>
      <c r="O241" s="5">
        <v>36526.0</v>
      </c>
      <c r="R241" s="1" t="b">
        <v>0</v>
      </c>
      <c r="S241" s="1">
        <v>0.0</v>
      </c>
      <c r="U241" s="1" t="b">
        <v>0</v>
      </c>
      <c r="V241" s="1" t="s">
        <v>5588</v>
      </c>
      <c r="W241" s="1" t="s">
        <v>6452</v>
      </c>
      <c r="X241" s="1">
        <v>200.0</v>
      </c>
      <c r="Y241" s="1" t="s">
        <v>5075</v>
      </c>
      <c r="AG241" s="5">
        <v>43189.0</v>
      </c>
    </row>
    <row r="242">
      <c r="A242" s="1">
        <v>4604.0</v>
      </c>
      <c r="B242" s="1">
        <v>0.0</v>
      </c>
      <c r="C242" s="1" t="s">
        <v>763</v>
      </c>
      <c r="D242" s="1" t="s">
        <v>5068</v>
      </c>
      <c r="E242" s="5">
        <v>44561.0</v>
      </c>
      <c r="F242" s="1" t="s">
        <v>764</v>
      </c>
      <c r="G242" s="1" t="s">
        <v>5326</v>
      </c>
      <c r="H242" s="1" t="s">
        <v>5102</v>
      </c>
      <c r="I242" s="1" t="s">
        <v>18</v>
      </c>
      <c r="J242" s="1" t="s">
        <v>21</v>
      </c>
      <c r="K242" s="1" t="s">
        <v>5072</v>
      </c>
      <c r="L242" s="6" t="s">
        <v>6453</v>
      </c>
      <c r="M242" s="1" t="s">
        <v>6454</v>
      </c>
      <c r="O242" s="5">
        <v>41275.0</v>
      </c>
      <c r="R242" s="1" t="b">
        <v>0</v>
      </c>
      <c r="S242" s="1">
        <v>0.0</v>
      </c>
      <c r="T242" s="1">
        <v>3711.0</v>
      </c>
      <c r="U242" s="1" t="b">
        <v>0</v>
      </c>
      <c r="V242" s="1" t="s">
        <v>6455</v>
      </c>
      <c r="X242" s="1">
        <v>408.0</v>
      </c>
      <c r="Y242" s="1" t="s">
        <v>5075</v>
      </c>
      <c r="Z242" s="1" t="s">
        <v>752</v>
      </c>
      <c r="AG242" s="5">
        <v>43189.0</v>
      </c>
    </row>
    <row r="243">
      <c r="A243" s="1">
        <v>4605.0</v>
      </c>
      <c r="B243" s="1">
        <v>0.0</v>
      </c>
      <c r="C243" s="1" t="s">
        <v>6456</v>
      </c>
      <c r="D243" s="1" t="s">
        <v>5068</v>
      </c>
      <c r="F243" s="1" t="s">
        <v>6457</v>
      </c>
      <c r="G243" s="1" t="s">
        <v>5326</v>
      </c>
      <c r="H243" s="1" t="s">
        <v>5102</v>
      </c>
      <c r="I243" s="1" t="s">
        <v>356</v>
      </c>
      <c r="J243" s="1" t="s">
        <v>21</v>
      </c>
      <c r="K243" s="6" t="s">
        <v>6458</v>
      </c>
      <c r="L243" s="6" t="s">
        <v>6459</v>
      </c>
      <c r="M243" s="1" t="s">
        <v>6460</v>
      </c>
      <c r="O243" s="5">
        <v>41275.0</v>
      </c>
      <c r="Q243" s="5">
        <v>43616.0</v>
      </c>
      <c r="R243" s="1" t="b">
        <v>0</v>
      </c>
      <c r="S243" s="1">
        <v>0.0</v>
      </c>
      <c r="T243" s="1">
        <v>3711.0</v>
      </c>
      <c r="U243" s="1" t="b">
        <v>0</v>
      </c>
      <c r="V243" s="1" t="s">
        <v>6461</v>
      </c>
      <c r="W243" s="1" t="s">
        <v>6462</v>
      </c>
      <c r="X243" s="1">
        <v>200.0</v>
      </c>
      <c r="Y243" s="1" t="s">
        <v>5075</v>
      </c>
      <c r="Z243" s="1" t="s">
        <v>752</v>
      </c>
      <c r="AG243" s="5">
        <v>43189.0</v>
      </c>
    </row>
    <row r="244">
      <c r="A244" s="1">
        <v>4606.0</v>
      </c>
      <c r="B244" s="1">
        <v>1.0</v>
      </c>
      <c r="C244" s="1" t="s">
        <v>111</v>
      </c>
      <c r="D244" s="1" t="s">
        <v>5068</v>
      </c>
      <c r="E244" s="5">
        <v>44880.0</v>
      </c>
      <c r="F244" s="1" t="s">
        <v>112</v>
      </c>
      <c r="G244" s="1" t="s">
        <v>5326</v>
      </c>
      <c r="H244" s="1" t="s">
        <v>5102</v>
      </c>
      <c r="I244" s="1" t="s">
        <v>18</v>
      </c>
      <c r="J244" s="1" t="s">
        <v>21</v>
      </c>
      <c r="K244" s="6" t="s">
        <v>6463</v>
      </c>
      <c r="L244" s="6" t="s">
        <v>6464</v>
      </c>
      <c r="M244" s="1" t="s">
        <v>6465</v>
      </c>
      <c r="O244" s="5">
        <v>41275.0</v>
      </c>
      <c r="Q244" s="5">
        <v>45808.0</v>
      </c>
      <c r="R244" s="1" t="b">
        <v>0</v>
      </c>
      <c r="S244" s="1">
        <v>0.0</v>
      </c>
      <c r="T244" s="1">
        <v>3711.0</v>
      </c>
      <c r="U244" s="1" t="b">
        <v>0</v>
      </c>
      <c r="V244" s="1" t="s">
        <v>6466</v>
      </c>
      <c r="W244" s="1" t="s">
        <v>6467</v>
      </c>
      <c r="X244" s="1">
        <v>200.0</v>
      </c>
      <c r="Y244" s="1" t="s">
        <v>5075</v>
      </c>
      <c r="Z244" s="1" t="s">
        <v>752</v>
      </c>
      <c r="AG244" s="5">
        <v>43189.0</v>
      </c>
    </row>
    <row r="245">
      <c r="A245" s="1">
        <v>4607.0</v>
      </c>
      <c r="B245" s="1">
        <v>0.0</v>
      </c>
      <c r="C245" s="1" t="s">
        <v>6468</v>
      </c>
      <c r="D245" s="1" t="s">
        <v>5068</v>
      </c>
      <c r="E245" s="5">
        <v>44895.0</v>
      </c>
      <c r="F245" s="1" t="s">
        <v>6469</v>
      </c>
      <c r="G245" s="1" t="s">
        <v>5326</v>
      </c>
      <c r="H245" s="1" t="s">
        <v>5102</v>
      </c>
      <c r="I245" s="1" t="s">
        <v>18</v>
      </c>
      <c r="J245" s="1" t="s">
        <v>21</v>
      </c>
      <c r="K245" s="6" t="s">
        <v>6470</v>
      </c>
      <c r="L245" s="6" t="s">
        <v>6471</v>
      </c>
      <c r="M245" s="1" t="s">
        <v>6472</v>
      </c>
      <c r="O245" s="5">
        <v>41275.0</v>
      </c>
      <c r="R245" s="1" t="b">
        <v>0</v>
      </c>
      <c r="S245" s="1">
        <v>0.0</v>
      </c>
      <c r="T245" s="1">
        <v>3711.0</v>
      </c>
      <c r="U245" s="1" t="b">
        <v>0</v>
      </c>
      <c r="V245" s="1" t="s">
        <v>5688</v>
      </c>
      <c r="W245" s="1" t="s">
        <v>6473</v>
      </c>
      <c r="X245" s="1">
        <v>200.0</v>
      </c>
      <c r="Y245" s="1" t="s">
        <v>5075</v>
      </c>
      <c r="Z245" s="1" t="s">
        <v>752</v>
      </c>
      <c r="AG245" s="5">
        <v>43189.0</v>
      </c>
    </row>
    <row r="246">
      <c r="A246" s="1">
        <v>4616.0</v>
      </c>
      <c r="B246" s="1">
        <v>0.0</v>
      </c>
      <c r="C246" s="1" t="s">
        <v>4717</v>
      </c>
      <c r="D246" s="1" t="s">
        <v>5068</v>
      </c>
      <c r="F246" s="1" t="s">
        <v>6474</v>
      </c>
      <c r="G246" s="1" t="s">
        <v>26</v>
      </c>
      <c r="H246" s="1" t="s">
        <v>5102</v>
      </c>
      <c r="I246" s="1" t="s">
        <v>356</v>
      </c>
      <c r="J246" s="1" t="s">
        <v>24</v>
      </c>
      <c r="K246" s="6" t="s">
        <v>6475</v>
      </c>
      <c r="L246" s="6" t="s">
        <v>6476</v>
      </c>
      <c r="M246" s="1" t="s">
        <v>6477</v>
      </c>
      <c r="O246" s="5">
        <v>41275.0</v>
      </c>
      <c r="R246" s="1" t="b">
        <v>0</v>
      </c>
      <c r="S246" s="1">
        <v>0.0</v>
      </c>
      <c r="T246" s="1">
        <v>401.0</v>
      </c>
      <c r="U246" s="1" t="b">
        <v>0</v>
      </c>
      <c r="V246" s="1" t="s">
        <v>6478</v>
      </c>
      <c r="W246" s="1" t="s">
        <v>6479</v>
      </c>
      <c r="X246" s="1">
        <v>200.0</v>
      </c>
      <c r="Z246" s="1" t="s">
        <v>5162</v>
      </c>
      <c r="AG246" s="5">
        <v>43189.0</v>
      </c>
    </row>
    <row r="247">
      <c r="A247" s="1">
        <v>4622.0</v>
      </c>
      <c r="B247" s="1">
        <v>0.0</v>
      </c>
      <c r="C247" s="1" t="s">
        <v>412</v>
      </c>
      <c r="D247" s="1" t="s">
        <v>5068</v>
      </c>
      <c r="E247" s="5">
        <v>44895.0</v>
      </c>
      <c r="F247" s="1" t="s">
        <v>413</v>
      </c>
      <c r="G247" s="1" t="s">
        <v>5122</v>
      </c>
      <c r="H247" s="1" t="s">
        <v>5102</v>
      </c>
      <c r="I247" s="1" t="s">
        <v>18</v>
      </c>
      <c r="J247" s="1" t="s">
        <v>21</v>
      </c>
      <c r="K247" s="6" t="s">
        <v>6480</v>
      </c>
      <c r="L247" s="6" t="s">
        <v>6481</v>
      </c>
      <c r="M247" s="1" t="s">
        <v>6482</v>
      </c>
      <c r="O247" s="5">
        <v>39083.0</v>
      </c>
      <c r="R247" s="1" t="b">
        <v>0</v>
      </c>
      <c r="S247" s="1">
        <v>0.0</v>
      </c>
      <c r="U247" s="1" t="b">
        <v>0</v>
      </c>
      <c r="V247" s="1" t="s">
        <v>6483</v>
      </c>
      <c r="W247" s="1" t="s">
        <v>6484</v>
      </c>
      <c r="X247" s="1">
        <v>200.0</v>
      </c>
      <c r="Y247" s="1" t="s">
        <v>5075</v>
      </c>
      <c r="AG247" s="5">
        <v>43189.0</v>
      </c>
    </row>
    <row r="248">
      <c r="A248" s="1">
        <v>4623.0</v>
      </c>
      <c r="B248" s="1">
        <v>1.0</v>
      </c>
      <c r="C248" s="1" t="s">
        <v>625</v>
      </c>
      <c r="D248" s="1" t="s">
        <v>5068</v>
      </c>
      <c r="E248" s="5">
        <v>44637.0</v>
      </c>
      <c r="F248" s="1" t="s">
        <v>626</v>
      </c>
      <c r="G248" s="1" t="s">
        <v>26</v>
      </c>
      <c r="H248" s="1" t="s">
        <v>5419</v>
      </c>
      <c r="I248" s="1" t="s">
        <v>18</v>
      </c>
      <c r="J248" s="1" t="s">
        <v>21</v>
      </c>
      <c r="K248" s="6" t="s">
        <v>6485</v>
      </c>
      <c r="L248" s="6" t="s">
        <v>6486</v>
      </c>
      <c r="M248" s="1" t="s">
        <v>6487</v>
      </c>
      <c r="R248" s="1" t="b">
        <v>0</v>
      </c>
      <c r="S248" s="1">
        <v>0.0</v>
      </c>
      <c r="T248" s="1">
        <v>3711.0</v>
      </c>
      <c r="U248" s="1" t="b">
        <v>0</v>
      </c>
      <c r="V248" s="1" t="s">
        <v>5153</v>
      </c>
      <c r="W248" s="1" t="s">
        <v>6488</v>
      </c>
      <c r="X248" s="1">
        <v>200.0</v>
      </c>
      <c r="Y248" s="1" t="s">
        <v>5142</v>
      </c>
      <c r="Z248" s="1" t="s">
        <v>752</v>
      </c>
      <c r="AC248" s="1" t="s">
        <v>5077</v>
      </c>
      <c r="AD248" s="1" t="s">
        <v>5093</v>
      </c>
      <c r="AG248" s="5">
        <v>43189.0</v>
      </c>
      <c r="AH248" s="1">
        <v>340537.0</v>
      </c>
    </row>
    <row r="249">
      <c r="A249" s="1">
        <v>4624.0</v>
      </c>
      <c r="B249" s="1">
        <v>1.0</v>
      </c>
      <c r="C249" s="1" t="s">
        <v>6489</v>
      </c>
      <c r="D249" s="1" t="s">
        <v>5068</v>
      </c>
      <c r="F249" s="1" t="s">
        <v>6490</v>
      </c>
      <c r="G249" s="1" t="s">
        <v>26</v>
      </c>
      <c r="H249" s="1" t="s">
        <v>5419</v>
      </c>
      <c r="I249" s="1" t="s">
        <v>18</v>
      </c>
      <c r="J249" s="1" t="s">
        <v>21</v>
      </c>
      <c r="K249" s="6" t="s">
        <v>6491</v>
      </c>
      <c r="L249" s="6" t="s">
        <v>6492</v>
      </c>
      <c r="M249" s="1" t="s">
        <v>6493</v>
      </c>
      <c r="R249" s="1" t="b">
        <v>0</v>
      </c>
      <c r="S249" s="1">
        <v>0.0</v>
      </c>
      <c r="T249" s="1">
        <v>3711.0</v>
      </c>
      <c r="U249" s="1" t="b">
        <v>0</v>
      </c>
      <c r="V249" s="1" t="s">
        <v>5644</v>
      </c>
      <c r="W249" s="1" t="s">
        <v>6494</v>
      </c>
      <c r="X249" s="1">
        <v>200.0</v>
      </c>
      <c r="Y249" s="1" t="s">
        <v>5142</v>
      </c>
      <c r="Z249" s="1" t="s">
        <v>752</v>
      </c>
      <c r="AC249" s="1" t="s">
        <v>5077</v>
      </c>
      <c r="AD249" s="1" t="s">
        <v>5093</v>
      </c>
      <c r="AG249" s="5">
        <v>43189.0</v>
      </c>
      <c r="AH249" s="1">
        <v>60937.0</v>
      </c>
    </row>
    <row r="250">
      <c r="A250" s="1">
        <v>4625.0</v>
      </c>
      <c r="B250" s="1">
        <v>1.0</v>
      </c>
      <c r="C250" s="1" t="s">
        <v>307</v>
      </c>
      <c r="D250" s="1" t="s">
        <v>5068</v>
      </c>
      <c r="E250" s="5">
        <v>44797.0</v>
      </c>
      <c r="F250" s="1" t="s">
        <v>308</v>
      </c>
      <c r="G250" s="1" t="s">
        <v>26</v>
      </c>
      <c r="H250" s="1" t="s">
        <v>5419</v>
      </c>
      <c r="I250" s="1" t="s">
        <v>18</v>
      </c>
      <c r="J250" s="1" t="s">
        <v>21</v>
      </c>
      <c r="K250" s="6" t="s">
        <v>6495</v>
      </c>
      <c r="L250" s="6" t="s">
        <v>6496</v>
      </c>
      <c r="M250" s="1" t="s">
        <v>6497</v>
      </c>
      <c r="R250" s="1" t="b">
        <v>0</v>
      </c>
      <c r="S250" s="1">
        <v>0.0</v>
      </c>
      <c r="T250" s="1">
        <v>609.0</v>
      </c>
      <c r="U250" s="1" t="b">
        <v>0</v>
      </c>
      <c r="V250" s="1" t="s">
        <v>6498</v>
      </c>
      <c r="W250" s="1" t="s">
        <v>6499</v>
      </c>
      <c r="X250" s="1">
        <v>200.0</v>
      </c>
      <c r="Y250" s="1" t="s">
        <v>5142</v>
      </c>
      <c r="Z250" s="1" t="s">
        <v>758</v>
      </c>
      <c r="AC250" s="1" t="s">
        <v>5077</v>
      </c>
      <c r="AD250" s="1" t="s">
        <v>5093</v>
      </c>
      <c r="AG250" s="5">
        <v>43189.0</v>
      </c>
      <c r="AH250" s="1">
        <v>361146.0</v>
      </c>
    </row>
    <row r="251">
      <c r="A251" s="1">
        <v>4626.0</v>
      </c>
      <c r="B251" s="1">
        <v>1.0</v>
      </c>
      <c r="C251" s="1" t="s">
        <v>6500</v>
      </c>
      <c r="D251" s="1" t="s">
        <v>5068</v>
      </c>
      <c r="F251" s="1" t="s">
        <v>6501</v>
      </c>
      <c r="G251" s="1" t="s">
        <v>26</v>
      </c>
      <c r="H251" s="1" t="s">
        <v>5419</v>
      </c>
      <c r="I251" s="1" t="s">
        <v>18</v>
      </c>
      <c r="J251" s="1" t="s">
        <v>21</v>
      </c>
      <c r="K251" s="6" t="s">
        <v>6502</v>
      </c>
      <c r="L251" s="6" t="s">
        <v>6503</v>
      </c>
      <c r="M251" s="1" t="s">
        <v>6504</v>
      </c>
      <c r="R251" s="1" t="b">
        <v>0</v>
      </c>
      <c r="S251" s="1">
        <v>0.0</v>
      </c>
      <c r="T251" s="1">
        <v>3711.0</v>
      </c>
      <c r="U251" s="1" t="b">
        <v>0</v>
      </c>
      <c r="V251" s="1" t="s">
        <v>6505</v>
      </c>
      <c r="W251" s="1" t="s">
        <v>6506</v>
      </c>
      <c r="X251" s="1">
        <v>200.0</v>
      </c>
      <c r="Y251" s="1" t="s">
        <v>5142</v>
      </c>
      <c r="Z251" s="1" t="s">
        <v>752</v>
      </c>
      <c r="AC251" s="1" t="s">
        <v>5077</v>
      </c>
      <c r="AD251" s="1" t="s">
        <v>5093</v>
      </c>
      <c r="AG251" s="5">
        <v>43189.0</v>
      </c>
      <c r="AH251" s="1">
        <v>2685.0</v>
      </c>
    </row>
    <row r="252">
      <c r="A252" s="1">
        <v>4627.0</v>
      </c>
      <c r="B252" s="1">
        <v>1.0</v>
      </c>
      <c r="C252" s="1" t="s">
        <v>6507</v>
      </c>
      <c r="D252" s="1" t="s">
        <v>5068</v>
      </c>
      <c r="F252" s="1" t="s">
        <v>6508</v>
      </c>
      <c r="G252" s="1" t="s">
        <v>26</v>
      </c>
      <c r="H252" s="1" t="s">
        <v>5419</v>
      </c>
      <c r="I252" s="1" t="s">
        <v>18</v>
      </c>
      <c r="J252" s="1" t="s">
        <v>21</v>
      </c>
      <c r="K252" s="6" t="s">
        <v>6509</v>
      </c>
      <c r="L252" s="6" t="s">
        <v>6510</v>
      </c>
      <c r="M252" s="1" t="s">
        <v>6511</v>
      </c>
      <c r="R252" s="1" t="b">
        <v>0</v>
      </c>
      <c r="S252" s="1">
        <v>0.0</v>
      </c>
      <c r="T252" s="1">
        <v>3711.0</v>
      </c>
      <c r="U252" s="1" t="b">
        <v>0</v>
      </c>
      <c r="V252" s="1" t="s">
        <v>5843</v>
      </c>
      <c r="W252" s="1" t="s">
        <v>6512</v>
      </c>
      <c r="X252" s="1">
        <v>200.0</v>
      </c>
      <c r="Y252" s="1" t="s">
        <v>5142</v>
      </c>
      <c r="Z252" s="1" t="s">
        <v>752</v>
      </c>
      <c r="AC252" s="1" t="s">
        <v>5077</v>
      </c>
      <c r="AD252" s="1" t="s">
        <v>5093</v>
      </c>
      <c r="AG252" s="5">
        <v>43189.0</v>
      </c>
      <c r="AH252" s="1">
        <v>2683.0</v>
      </c>
    </row>
    <row r="253">
      <c r="A253" s="1">
        <v>4628.0</v>
      </c>
      <c r="B253" s="1">
        <v>1.0</v>
      </c>
      <c r="C253" s="1" t="s">
        <v>6513</v>
      </c>
      <c r="D253" s="1" t="s">
        <v>5068</v>
      </c>
      <c r="E253" s="5">
        <v>44334.0</v>
      </c>
      <c r="F253" s="1" t="s">
        <v>6514</v>
      </c>
      <c r="G253" s="1" t="s">
        <v>26</v>
      </c>
      <c r="H253" s="1" t="s">
        <v>5419</v>
      </c>
      <c r="I253" s="1" t="s">
        <v>18</v>
      </c>
      <c r="J253" s="1" t="s">
        <v>21</v>
      </c>
      <c r="K253" s="6" t="s">
        <v>6515</v>
      </c>
      <c r="L253" s="6" t="s">
        <v>6516</v>
      </c>
      <c r="M253" s="1" t="s">
        <v>6517</v>
      </c>
      <c r="O253" s="5">
        <v>43741.0</v>
      </c>
      <c r="P253" s="5">
        <v>43776.0</v>
      </c>
      <c r="R253" s="1" t="b">
        <v>0</v>
      </c>
      <c r="S253" s="1">
        <v>0.0</v>
      </c>
      <c r="T253" s="1">
        <v>609.0</v>
      </c>
      <c r="U253" s="1" t="b">
        <v>0</v>
      </c>
      <c r="V253" s="1" t="s">
        <v>6518</v>
      </c>
      <c r="W253" s="1" t="s">
        <v>6519</v>
      </c>
      <c r="X253" s="1">
        <v>200.0</v>
      </c>
      <c r="Y253" s="1" t="s">
        <v>5142</v>
      </c>
      <c r="Z253" s="1" t="s">
        <v>758</v>
      </c>
      <c r="AC253" s="1" t="s">
        <v>5077</v>
      </c>
      <c r="AD253" s="1" t="s">
        <v>5093</v>
      </c>
      <c r="AG253" s="5">
        <v>43189.0</v>
      </c>
      <c r="AH253" s="1">
        <v>311018.0</v>
      </c>
    </row>
    <row r="254">
      <c r="A254" s="1">
        <v>4629.0</v>
      </c>
      <c r="B254" s="1">
        <v>1.0</v>
      </c>
      <c r="C254" s="1" t="s">
        <v>164</v>
      </c>
      <c r="D254" s="1" t="s">
        <v>5068</v>
      </c>
      <c r="E254" s="5">
        <v>44841.0</v>
      </c>
      <c r="F254" s="1" t="s">
        <v>165</v>
      </c>
      <c r="G254" s="1" t="s">
        <v>26</v>
      </c>
      <c r="H254" s="1" t="s">
        <v>5419</v>
      </c>
      <c r="I254" s="1" t="s">
        <v>18</v>
      </c>
      <c r="J254" s="1" t="s">
        <v>21</v>
      </c>
      <c r="K254" s="6" t="s">
        <v>6520</v>
      </c>
      <c r="L254" s="6" t="s">
        <v>6521</v>
      </c>
      <c r="M254" s="1" t="s">
        <v>6522</v>
      </c>
      <c r="R254" s="1" t="b">
        <v>0</v>
      </c>
      <c r="S254" s="1">
        <v>0.0</v>
      </c>
      <c r="T254" s="1">
        <v>3711.0</v>
      </c>
      <c r="U254" s="1" t="b">
        <v>0</v>
      </c>
      <c r="V254" s="1" t="s">
        <v>6523</v>
      </c>
      <c r="W254" s="1" t="s">
        <v>6524</v>
      </c>
      <c r="X254" s="1">
        <v>200.0</v>
      </c>
      <c r="Y254" s="1" t="s">
        <v>5142</v>
      </c>
      <c r="Z254" s="1" t="s">
        <v>752</v>
      </c>
      <c r="AC254" s="1" t="s">
        <v>5077</v>
      </c>
      <c r="AD254" s="1" t="s">
        <v>5093</v>
      </c>
      <c r="AG254" s="5">
        <v>43189.0</v>
      </c>
      <c r="AH254" s="1">
        <v>368299.0</v>
      </c>
    </row>
    <row r="255">
      <c r="A255" s="1">
        <v>4630.0</v>
      </c>
      <c r="B255" s="1">
        <v>1.0</v>
      </c>
      <c r="C255" s="1" t="s">
        <v>563</v>
      </c>
      <c r="D255" s="1" t="s">
        <v>5068</v>
      </c>
      <c r="E255" s="5">
        <v>44657.0</v>
      </c>
      <c r="F255" s="1" t="s">
        <v>564</v>
      </c>
      <c r="G255" s="1" t="s">
        <v>26</v>
      </c>
      <c r="H255" s="1" t="s">
        <v>5419</v>
      </c>
      <c r="I255" s="1" t="s">
        <v>18</v>
      </c>
      <c r="J255" s="1" t="s">
        <v>21</v>
      </c>
      <c r="K255" s="6" t="s">
        <v>6525</v>
      </c>
      <c r="L255" s="6" t="s">
        <v>6526</v>
      </c>
      <c r="M255" s="1" t="s">
        <v>6527</v>
      </c>
      <c r="R255" s="1" t="b">
        <v>0</v>
      </c>
      <c r="S255" s="1">
        <v>0.0</v>
      </c>
      <c r="T255" s="1">
        <v>3711.0</v>
      </c>
      <c r="U255" s="1" t="b">
        <v>0</v>
      </c>
      <c r="V255" s="1" t="s">
        <v>6528</v>
      </c>
      <c r="W255" s="1" t="s">
        <v>6529</v>
      </c>
      <c r="X255" s="1">
        <v>200.0</v>
      </c>
      <c r="Y255" s="1" t="s">
        <v>5142</v>
      </c>
      <c r="Z255" s="1" t="s">
        <v>752</v>
      </c>
      <c r="AC255" s="1" t="s">
        <v>5077</v>
      </c>
      <c r="AD255" s="1" t="s">
        <v>5093</v>
      </c>
      <c r="AG255" s="5">
        <v>43189.0</v>
      </c>
      <c r="AH255" s="1">
        <v>343506.0</v>
      </c>
    </row>
    <row r="256">
      <c r="A256" s="1">
        <v>4631.0</v>
      </c>
      <c r="B256" s="1">
        <v>0.0</v>
      </c>
      <c r="C256" s="1" t="s">
        <v>6530</v>
      </c>
      <c r="D256" s="1" t="s">
        <v>5068</v>
      </c>
      <c r="F256" s="1" t="s">
        <v>6531</v>
      </c>
      <c r="G256" s="1" t="s">
        <v>26</v>
      </c>
      <c r="H256" s="1" t="s">
        <v>5102</v>
      </c>
      <c r="I256" s="1" t="s">
        <v>356</v>
      </c>
      <c r="J256" s="1" t="s">
        <v>21</v>
      </c>
      <c r="K256" s="1" t="s">
        <v>5072</v>
      </c>
      <c r="L256" s="6" t="s">
        <v>6532</v>
      </c>
      <c r="M256" s="1" t="s">
        <v>6533</v>
      </c>
      <c r="R256" s="1" t="b">
        <v>0</v>
      </c>
      <c r="S256" s="1">
        <v>0.0</v>
      </c>
      <c r="T256" s="1">
        <v>3711.0</v>
      </c>
      <c r="U256" s="1" t="b">
        <v>0</v>
      </c>
      <c r="V256" s="1" t="s">
        <v>5379</v>
      </c>
      <c r="W256" s="1" t="s">
        <v>6534</v>
      </c>
      <c r="X256" s="1">
        <v>200.0</v>
      </c>
      <c r="Z256" s="1" t="s">
        <v>752</v>
      </c>
      <c r="AC256" s="1" t="s">
        <v>6535</v>
      </c>
      <c r="AD256" s="1" t="s">
        <v>5078</v>
      </c>
      <c r="AG256" s="5">
        <v>43189.0</v>
      </c>
    </row>
    <row r="257">
      <c r="A257" s="1">
        <v>4632.0</v>
      </c>
      <c r="B257" s="1">
        <v>1.0</v>
      </c>
      <c r="C257" s="1" t="s">
        <v>237</v>
      </c>
      <c r="D257" s="1" t="s">
        <v>5068</v>
      </c>
      <c r="E257" s="5">
        <v>44810.0</v>
      </c>
      <c r="F257" s="1" t="s">
        <v>238</v>
      </c>
      <c r="G257" s="1" t="s">
        <v>26</v>
      </c>
      <c r="H257" s="1" t="s">
        <v>5419</v>
      </c>
      <c r="I257" s="1" t="s">
        <v>18</v>
      </c>
      <c r="J257" s="1" t="s">
        <v>21</v>
      </c>
      <c r="K257" s="6" t="s">
        <v>6536</v>
      </c>
      <c r="L257" s="6" t="s">
        <v>6537</v>
      </c>
      <c r="M257" s="1" t="s">
        <v>6538</v>
      </c>
      <c r="R257" s="1" t="b">
        <v>0</v>
      </c>
      <c r="S257" s="1">
        <v>0.0</v>
      </c>
      <c r="T257" s="1">
        <v>609.0</v>
      </c>
      <c r="U257" s="1" t="b">
        <v>0</v>
      </c>
      <c r="V257" s="1" t="s">
        <v>6539</v>
      </c>
      <c r="W257" s="1" t="s">
        <v>6540</v>
      </c>
      <c r="X257" s="1">
        <v>200.0</v>
      </c>
      <c r="Y257" s="1" t="s">
        <v>5142</v>
      </c>
      <c r="Z257" s="1" t="s">
        <v>758</v>
      </c>
      <c r="AC257" s="1" t="s">
        <v>5077</v>
      </c>
      <c r="AD257" s="1" t="s">
        <v>5093</v>
      </c>
      <c r="AG257" s="5">
        <v>43189.0</v>
      </c>
      <c r="AH257" s="1">
        <v>362232.0</v>
      </c>
    </row>
    <row r="258">
      <c r="A258" s="1">
        <v>4633.0</v>
      </c>
      <c r="B258" s="1">
        <v>1.0</v>
      </c>
      <c r="C258" s="1" t="s">
        <v>6541</v>
      </c>
      <c r="D258" s="1" t="s">
        <v>5068</v>
      </c>
      <c r="E258" s="5">
        <v>43774.0</v>
      </c>
      <c r="F258" s="1" t="s">
        <v>6542</v>
      </c>
      <c r="G258" s="1" t="s">
        <v>26</v>
      </c>
      <c r="H258" s="1" t="s">
        <v>5419</v>
      </c>
      <c r="I258" s="1" t="s">
        <v>18</v>
      </c>
      <c r="J258" s="1" t="s">
        <v>21</v>
      </c>
      <c r="K258" s="6" t="s">
        <v>6543</v>
      </c>
      <c r="L258" s="6" t="s">
        <v>6544</v>
      </c>
      <c r="M258" s="1" t="s">
        <v>6545</v>
      </c>
      <c r="R258" s="1" t="b">
        <v>0</v>
      </c>
      <c r="S258" s="1">
        <v>0.0</v>
      </c>
      <c r="T258" s="1">
        <v>3711.0</v>
      </c>
      <c r="U258" s="1" t="b">
        <v>0</v>
      </c>
      <c r="V258" s="1" t="s">
        <v>5247</v>
      </c>
      <c r="W258" s="1" t="s">
        <v>6546</v>
      </c>
      <c r="X258" s="1">
        <v>200.0</v>
      </c>
      <c r="Y258" s="1" t="s">
        <v>5075</v>
      </c>
      <c r="Z258" s="1" t="s">
        <v>752</v>
      </c>
      <c r="AC258" s="1" t="s">
        <v>5077</v>
      </c>
      <c r="AD258" s="1" t="s">
        <v>5093</v>
      </c>
      <c r="AG258" s="5">
        <v>43189.0</v>
      </c>
      <c r="AH258" s="1">
        <v>162282.0</v>
      </c>
    </row>
    <row r="259">
      <c r="A259" s="1">
        <v>4634.0</v>
      </c>
      <c r="B259" s="1">
        <v>1.0</v>
      </c>
      <c r="C259" s="1" t="s">
        <v>6547</v>
      </c>
      <c r="D259" s="1" t="s">
        <v>5068</v>
      </c>
      <c r="F259" s="1" t="s">
        <v>6548</v>
      </c>
      <c r="G259" s="1" t="s">
        <v>26</v>
      </c>
      <c r="H259" s="1" t="s">
        <v>5419</v>
      </c>
      <c r="I259" s="1" t="s">
        <v>18</v>
      </c>
      <c r="J259" s="1" t="s">
        <v>21</v>
      </c>
      <c r="K259" s="6" t="s">
        <v>6549</v>
      </c>
      <c r="L259" s="6" t="s">
        <v>6550</v>
      </c>
      <c r="M259" s="1" t="s">
        <v>6551</v>
      </c>
      <c r="R259" s="1" t="b">
        <v>0</v>
      </c>
      <c r="S259" s="1">
        <v>0.0</v>
      </c>
      <c r="T259" s="1">
        <v>3711.0</v>
      </c>
      <c r="U259" s="1" t="b">
        <v>0</v>
      </c>
      <c r="V259" s="1" t="s">
        <v>6004</v>
      </c>
      <c r="W259" s="1" t="s">
        <v>6552</v>
      </c>
      <c r="X259" s="1">
        <v>200.0</v>
      </c>
      <c r="Y259" s="1" t="s">
        <v>5075</v>
      </c>
      <c r="Z259" s="1" t="s">
        <v>752</v>
      </c>
      <c r="AC259" s="1" t="s">
        <v>5077</v>
      </c>
      <c r="AD259" s="1" t="s">
        <v>5093</v>
      </c>
      <c r="AG259" s="5">
        <v>43189.0</v>
      </c>
      <c r="AH259" s="1">
        <v>310566.0</v>
      </c>
    </row>
    <row r="260">
      <c r="A260" s="1">
        <v>4635.0</v>
      </c>
      <c r="B260" s="1">
        <v>1.0</v>
      </c>
      <c r="C260" s="1" t="s">
        <v>119</v>
      </c>
      <c r="D260" s="1" t="s">
        <v>5068</v>
      </c>
      <c r="E260" s="5">
        <v>44880.0</v>
      </c>
      <c r="F260" s="1" t="s">
        <v>120</v>
      </c>
      <c r="G260" s="1" t="s">
        <v>5326</v>
      </c>
      <c r="H260" s="1" t="s">
        <v>5102</v>
      </c>
      <c r="I260" s="1" t="s">
        <v>18</v>
      </c>
      <c r="J260" s="1" t="s">
        <v>21</v>
      </c>
      <c r="K260" s="6" t="s">
        <v>6553</v>
      </c>
      <c r="L260" s="6" t="s">
        <v>6554</v>
      </c>
      <c r="M260" s="1" t="s">
        <v>6555</v>
      </c>
      <c r="O260" s="5">
        <v>38718.0</v>
      </c>
      <c r="R260" s="1" t="b">
        <v>0</v>
      </c>
      <c r="S260" s="1">
        <v>0.0</v>
      </c>
      <c r="T260" s="1">
        <v>3703.0</v>
      </c>
      <c r="U260" s="1" t="b">
        <v>0</v>
      </c>
      <c r="V260" s="1" t="s">
        <v>6556</v>
      </c>
      <c r="W260" s="1" t="s">
        <v>6557</v>
      </c>
      <c r="X260" s="1">
        <v>200.0</v>
      </c>
      <c r="Y260" s="1" t="s">
        <v>5142</v>
      </c>
      <c r="Z260" s="1" t="s">
        <v>2275</v>
      </c>
      <c r="AC260" s="1" t="s">
        <v>5077</v>
      </c>
      <c r="AD260" s="1" t="s">
        <v>5093</v>
      </c>
      <c r="AG260" s="5">
        <v>43189.0</v>
      </c>
      <c r="AH260" s="1">
        <v>368936.0</v>
      </c>
    </row>
    <row r="261">
      <c r="A261" s="1">
        <v>4653.0</v>
      </c>
      <c r="B261" s="1">
        <v>0.0</v>
      </c>
      <c r="C261" s="1" t="s">
        <v>637</v>
      </c>
      <c r="D261" s="1" t="s">
        <v>5068</v>
      </c>
      <c r="E261" s="5">
        <v>44895.0</v>
      </c>
      <c r="F261" s="1" t="s">
        <v>638</v>
      </c>
      <c r="G261" s="1" t="s">
        <v>5326</v>
      </c>
      <c r="H261" s="1" t="s">
        <v>5102</v>
      </c>
      <c r="I261" s="1" t="s">
        <v>18</v>
      </c>
      <c r="J261" s="1" t="s">
        <v>21</v>
      </c>
      <c r="K261" s="6" t="s">
        <v>6558</v>
      </c>
      <c r="L261" s="6" t="s">
        <v>6559</v>
      </c>
      <c r="M261" s="1" t="s">
        <v>6560</v>
      </c>
      <c r="O261" s="5">
        <v>41275.0</v>
      </c>
      <c r="R261" s="1" t="b">
        <v>0</v>
      </c>
      <c r="S261" s="1">
        <v>0.0</v>
      </c>
      <c r="T261" s="1">
        <v>3711.0</v>
      </c>
      <c r="U261" s="1" t="b">
        <v>0</v>
      </c>
      <c r="V261" s="1" t="s">
        <v>6561</v>
      </c>
      <c r="W261" s="1" t="s">
        <v>6562</v>
      </c>
      <c r="X261" s="1">
        <v>200.0</v>
      </c>
      <c r="Y261" s="1" t="s">
        <v>5075</v>
      </c>
      <c r="Z261" s="1" t="s">
        <v>752</v>
      </c>
      <c r="AG261" s="5">
        <v>43189.0</v>
      </c>
    </row>
    <row r="262">
      <c r="A262" s="1">
        <v>4655.0</v>
      </c>
      <c r="B262" s="1">
        <v>0.0</v>
      </c>
      <c r="C262" s="1" t="s">
        <v>6563</v>
      </c>
      <c r="D262" s="1" t="s">
        <v>5068</v>
      </c>
      <c r="E262" s="5">
        <v>43475.0</v>
      </c>
      <c r="F262" s="1" t="s">
        <v>6564</v>
      </c>
      <c r="G262" s="1" t="s">
        <v>6565</v>
      </c>
      <c r="H262" s="1" t="s">
        <v>5070</v>
      </c>
      <c r="I262" s="1" t="s">
        <v>356</v>
      </c>
      <c r="J262" s="1" t="s">
        <v>21</v>
      </c>
      <c r="K262" s="6" t="s">
        <v>6566</v>
      </c>
      <c r="L262" s="6" t="s">
        <v>6567</v>
      </c>
      <c r="M262" s="1" t="s">
        <v>6568</v>
      </c>
      <c r="R262" s="1" t="b">
        <v>0</v>
      </c>
      <c r="S262" s="1">
        <v>0.0</v>
      </c>
      <c r="U262" s="1" t="b">
        <v>0</v>
      </c>
      <c r="V262" s="1" t="s">
        <v>6569</v>
      </c>
      <c r="Y262" s="1" t="s">
        <v>5075</v>
      </c>
      <c r="AG262" s="5">
        <v>43189.0</v>
      </c>
    </row>
    <row r="263">
      <c r="A263" s="1">
        <v>4656.0</v>
      </c>
      <c r="B263" s="1">
        <v>0.0</v>
      </c>
      <c r="C263" s="1" t="s">
        <v>6570</v>
      </c>
      <c r="D263" s="1" t="s">
        <v>5068</v>
      </c>
      <c r="E263" s="5">
        <v>43475.0</v>
      </c>
      <c r="F263" s="1" t="s">
        <v>6571</v>
      </c>
      <c r="G263" s="1" t="s">
        <v>6572</v>
      </c>
      <c r="H263" s="1" t="s">
        <v>5070</v>
      </c>
      <c r="I263" s="1" t="s">
        <v>356</v>
      </c>
      <c r="J263" s="1" t="s">
        <v>21</v>
      </c>
      <c r="K263" s="6" t="s">
        <v>6573</v>
      </c>
      <c r="L263" s="6" t="s">
        <v>6574</v>
      </c>
      <c r="M263" s="1" t="s">
        <v>6575</v>
      </c>
      <c r="R263" s="1" t="b">
        <v>0</v>
      </c>
      <c r="S263" s="1">
        <v>0.0</v>
      </c>
      <c r="U263" s="1" t="b">
        <v>0</v>
      </c>
      <c r="V263" s="1" t="s">
        <v>6569</v>
      </c>
      <c r="Y263" s="1" t="s">
        <v>5075</v>
      </c>
      <c r="AG263" s="5">
        <v>43189.0</v>
      </c>
    </row>
    <row r="264">
      <c r="A264" s="1">
        <v>4657.0</v>
      </c>
      <c r="B264" s="1">
        <v>0.0</v>
      </c>
      <c r="C264" s="1" t="s">
        <v>6576</v>
      </c>
      <c r="D264" s="1" t="s">
        <v>5068</v>
      </c>
      <c r="F264" s="1" t="s">
        <v>6577</v>
      </c>
      <c r="G264" s="1" t="s">
        <v>5326</v>
      </c>
      <c r="H264" s="1" t="s">
        <v>5070</v>
      </c>
      <c r="I264" s="1" t="s">
        <v>18</v>
      </c>
      <c r="J264" s="1" t="s">
        <v>21</v>
      </c>
      <c r="K264" s="6" t="s">
        <v>6578</v>
      </c>
      <c r="L264" s="6" t="s">
        <v>6579</v>
      </c>
      <c r="M264" s="1" t="s">
        <v>6580</v>
      </c>
      <c r="R264" s="1" t="b">
        <v>0</v>
      </c>
      <c r="S264" s="1">
        <v>0.0</v>
      </c>
      <c r="U264" s="1" t="b">
        <v>0</v>
      </c>
      <c r="V264" s="1" t="s">
        <v>5306</v>
      </c>
      <c r="W264" s="1" t="s">
        <v>6581</v>
      </c>
      <c r="X264" s="1">
        <v>200.0</v>
      </c>
      <c r="Y264" s="1" t="s">
        <v>5075</v>
      </c>
      <c r="AG264" s="5">
        <v>43189.0</v>
      </c>
    </row>
    <row r="265">
      <c r="A265" s="1">
        <v>4658.0</v>
      </c>
      <c r="B265" s="1">
        <v>0.0</v>
      </c>
      <c r="C265" s="1" t="s">
        <v>6582</v>
      </c>
      <c r="D265" s="1" t="s">
        <v>5068</v>
      </c>
      <c r="F265" s="1" t="s">
        <v>6583</v>
      </c>
      <c r="G265" s="1" t="s">
        <v>5326</v>
      </c>
      <c r="H265" s="1" t="s">
        <v>5608</v>
      </c>
      <c r="I265" s="1" t="s">
        <v>18</v>
      </c>
      <c r="J265" s="1" t="s">
        <v>21</v>
      </c>
      <c r="K265" s="6" t="s">
        <v>6584</v>
      </c>
      <c r="L265" s="6" t="s">
        <v>6585</v>
      </c>
      <c r="M265" s="1" t="s">
        <v>6586</v>
      </c>
      <c r="R265" s="1" t="b">
        <v>0</v>
      </c>
      <c r="S265" s="1">
        <v>0.0</v>
      </c>
      <c r="T265" s="1">
        <v>63.0</v>
      </c>
      <c r="U265" s="1" t="b">
        <v>0</v>
      </c>
      <c r="V265" s="1" t="s">
        <v>5422</v>
      </c>
      <c r="W265" s="1" t="s">
        <v>6587</v>
      </c>
      <c r="X265" s="1">
        <v>200.0</v>
      </c>
      <c r="Y265" s="1" t="s">
        <v>5075</v>
      </c>
      <c r="Z265" s="1" t="s">
        <v>4711</v>
      </c>
      <c r="AG265" s="5">
        <v>43189.0</v>
      </c>
    </row>
    <row r="266">
      <c r="A266" s="1">
        <v>4659.0</v>
      </c>
      <c r="B266" s="1">
        <v>0.0</v>
      </c>
      <c r="C266" s="1" t="s">
        <v>785</v>
      </c>
      <c r="D266" s="1" t="s">
        <v>5068</v>
      </c>
      <c r="E266" s="5">
        <v>44293.0</v>
      </c>
      <c r="F266" s="1" t="s">
        <v>786</v>
      </c>
      <c r="G266" s="1" t="s">
        <v>5326</v>
      </c>
      <c r="H266" s="1" t="s">
        <v>5608</v>
      </c>
      <c r="I266" s="1" t="s">
        <v>356</v>
      </c>
      <c r="J266" s="1" t="s">
        <v>21</v>
      </c>
      <c r="K266" s="6" t="s">
        <v>6588</v>
      </c>
      <c r="L266" s="6" t="s">
        <v>6589</v>
      </c>
      <c r="M266" s="1" t="s">
        <v>6590</v>
      </c>
      <c r="Q266" s="5">
        <v>44562.0</v>
      </c>
      <c r="R266" s="1" t="b">
        <v>0</v>
      </c>
      <c r="S266" s="1">
        <v>0.0</v>
      </c>
      <c r="U266" s="1" t="b">
        <v>0</v>
      </c>
      <c r="V266" s="1" t="s">
        <v>6591</v>
      </c>
      <c r="X266" s="1">
        <v>200.0</v>
      </c>
      <c r="Y266" s="1" t="s">
        <v>5075</v>
      </c>
      <c r="AG266" s="5">
        <v>43189.0</v>
      </c>
    </row>
    <row r="267">
      <c r="A267" s="1">
        <v>4661.0</v>
      </c>
      <c r="B267" s="1">
        <v>0.0</v>
      </c>
      <c r="C267" s="1" t="s">
        <v>6592</v>
      </c>
      <c r="D267" s="1" t="s">
        <v>5068</v>
      </c>
      <c r="F267" s="1" t="s">
        <v>6593</v>
      </c>
      <c r="G267" s="1" t="s">
        <v>5326</v>
      </c>
      <c r="H267" s="1" t="s">
        <v>5070</v>
      </c>
      <c r="I267" s="1" t="s">
        <v>18</v>
      </c>
      <c r="J267" s="1" t="s">
        <v>21</v>
      </c>
      <c r="K267" s="1" t="s">
        <v>5072</v>
      </c>
      <c r="L267" s="6" t="s">
        <v>6594</v>
      </c>
      <c r="M267" s="1" t="s">
        <v>6595</v>
      </c>
      <c r="R267" s="1" t="b">
        <v>0</v>
      </c>
      <c r="S267" s="1">
        <v>0.0</v>
      </c>
      <c r="U267" s="1" t="b">
        <v>0</v>
      </c>
      <c r="V267" s="1" t="s">
        <v>6596</v>
      </c>
      <c r="X267" s="1">
        <v>200.0</v>
      </c>
      <c r="Y267" s="1" t="s">
        <v>5075</v>
      </c>
      <c r="AG267" s="5">
        <v>43189.0</v>
      </c>
    </row>
    <row r="268">
      <c r="A268" s="1">
        <v>4662.0</v>
      </c>
      <c r="B268" s="1">
        <v>0.0</v>
      </c>
      <c r="C268" s="1" t="s">
        <v>6597</v>
      </c>
      <c r="D268" s="1" t="s">
        <v>5068</v>
      </c>
      <c r="F268" s="1" t="s">
        <v>6598</v>
      </c>
      <c r="G268" s="1" t="s">
        <v>6599</v>
      </c>
      <c r="H268" s="1" t="s">
        <v>5070</v>
      </c>
      <c r="I268" s="1" t="s">
        <v>18</v>
      </c>
      <c r="J268" s="1" t="s">
        <v>21</v>
      </c>
      <c r="K268" s="6" t="s">
        <v>6600</v>
      </c>
      <c r="L268" s="6" t="s">
        <v>6601</v>
      </c>
      <c r="M268" s="1" t="s">
        <v>6602</v>
      </c>
      <c r="R268" s="1" t="b">
        <v>0</v>
      </c>
      <c r="S268" s="1">
        <v>0.0</v>
      </c>
      <c r="U268" s="1" t="b">
        <v>0</v>
      </c>
      <c r="V268" s="1" t="s">
        <v>5632</v>
      </c>
      <c r="W268" s="1" t="s">
        <v>6603</v>
      </c>
      <c r="X268" s="1">
        <v>200.0</v>
      </c>
      <c r="Y268" s="1" t="s">
        <v>5075</v>
      </c>
      <c r="AG268" s="5">
        <v>43189.0</v>
      </c>
    </row>
    <row r="269">
      <c r="A269" s="1">
        <v>4663.0</v>
      </c>
      <c r="B269" s="1">
        <v>0.0</v>
      </c>
      <c r="C269" s="1" t="s">
        <v>6604</v>
      </c>
      <c r="D269" s="1" t="s">
        <v>5068</v>
      </c>
      <c r="F269" s="1" t="s">
        <v>6605</v>
      </c>
      <c r="G269" s="1" t="s">
        <v>5326</v>
      </c>
      <c r="H269" s="1" t="s">
        <v>5070</v>
      </c>
      <c r="I269" s="1" t="s">
        <v>18</v>
      </c>
      <c r="J269" s="1" t="s">
        <v>21</v>
      </c>
      <c r="K269" s="6" t="s">
        <v>6606</v>
      </c>
      <c r="L269" s="6" t="s">
        <v>6607</v>
      </c>
      <c r="M269" s="1" t="s">
        <v>6608</v>
      </c>
      <c r="R269" s="1" t="b">
        <v>0</v>
      </c>
      <c r="S269" s="1">
        <v>0.0</v>
      </c>
      <c r="U269" s="1" t="b">
        <v>0</v>
      </c>
      <c r="V269" s="1" t="s">
        <v>5546</v>
      </c>
      <c r="W269" s="1" t="s">
        <v>6609</v>
      </c>
      <c r="X269" s="1">
        <v>200.0</v>
      </c>
      <c r="Y269" s="1" t="s">
        <v>5142</v>
      </c>
      <c r="AC269" s="1" t="s">
        <v>5077</v>
      </c>
      <c r="AD269" s="1" t="s">
        <v>5093</v>
      </c>
      <c r="AG269" s="5">
        <v>43189.0</v>
      </c>
      <c r="AH269" s="1">
        <v>159601.0</v>
      </c>
    </row>
    <row r="270">
      <c r="A270" s="1">
        <v>4664.0</v>
      </c>
      <c r="B270" s="1">
        <v>0.0</v>
      </c>
      <c r="C270" s="1" t="s">
        <v>272</v>
      </c>
      <c r="D270" s="1" t="s">
        <v>5068</v>
      </c>
      <c r="E270" s="5">
        <v>44810.0</v>
      </c>
      <c r="F270" s="1" t="s">
        <v>273</v>
      </c>
      <c r="G270" s="1" t="s">
        <v>26</v>
      </c>
      <c r="H270" s="1" t="s">
        <v>5070</v>
      </c>
      <c r="I270" s="1" t="s">
        <v>18</v>
      </c>
      <c r="J270" s="1" t="s">
        <v>21</v>
      </c>
      <c r="K270" s="6" t="s">
        <v>6610</v>
      </c>
      <c r="L270" s="6" t="s">
        <v>6611</v>
      </c>
      <c r="M270" s="1" t="s">
        <v>6612</v>
      </c>
      <c r="R270" s="1" t="b">
        <v>0</v>
      </c>
      <c r="S270" s="1">
        <v>0.0</v>
      </c>
      <c r="U270" s="1" t="b">
        <v>0</v>
      </c>
      <c r="V270" s="1" t="s">
        <v>5392</v>
      </c>
      <c r="W270" s="1" t="s">
        <v>6613</v>
      </c>
      <c r="X270" s="1">
        <v>200.0</v>
      </c>
      <c r="Y270" s="1" t="s">
        <v>5075</v>
      </c>
      <c r="AG270" s="5">
        <v>43189.0</v>
      </c>
    </row>
    <row r="271">
      <c r="A271" s="1">
        <v>4665.0</v>
      </c>
      <c r="B271" s="1">
        <v>0.0</v>
      </c>
      <c r="C271" s="1" t="s">
        <v>405</v>
      </c>
      <c r="D271" s="1" t="s">
        <v>5068</v>
      </c>
      <c r="E271" s="5">
        <v>44732.0</v>
      </c>
      <c r="F271" s="1" t="s">
        <v>406</v>
      </c>
      <c r="G271" s="1" t="s">
        <v>5115</v>
      </c>
      <c r="H271" s="1" t="s">
        <v>5070</v>
      </c>
      <c r="I271" s="1" t="s">
        <v>18</v>
      </c>
      <c r="J271" s="1" t="s">
        <v>21</v>
      </c>
      <c r="K271" s="6" t="s">
        <v>6614</v>
      </c>
      <c r="L271" s="6" t="s">
        <v>6615</v>
      </c>
      <c r="M271" s="1" t="s">
        <v>6616</v>
      </c>
      <c r="R271" s="1" t="b">
        <v>0</v>
      </c>
      <c r="S271" s="1">
        <v>0.0</v>
      </c>
      <c r="U271" s="1" t="b">
        <v>0</v>
      </c>
      <c r="V271" s="1" t="s">
        <v>6260</v>
      </c>
      <c r="W271" s="1" t="s">
        <v>6617</v>
      </c>
      <c r="X271" s="1">
        <v>200.0</v>
      </c>
      <c r="Y271" s="1" t="s">
        <v>5142</v>
      </c>
      <c r="AC271" s="1" t="s">
        <v>5077</v>
      </c>
      <c r="AD271" s="1" t="s">
        <v>5093</v>
      </c>
      <c r="AG271" s="5">
        <v>43189.0</v>
      </c>
      <c r="AH271" s="1">
        <v>354173.0</v>
      </c>
    </row>
    <row r="272">
      <c r="A272" s="1">
        <v>4667.0</v>
      </c>
      <c r="B272" s="1">
        <v>0.0</v>
      </c>
      <c r="C272" s="1" t="s">
        <v>6618</v>
      </c>
      <c r="D272" s="1" t="s">
        <v>5068</v>
      </c>
      <c r="F272" s="1" t="s">
        <v>6619</v>
      </c>
      <c r="G272" s="1" t="s">
        <v>5326</v>
      </c>
      <c r="H272" s="1" t="s">
        <v>5102</v>
      </c>
      <c r="I272" s="1" t="s">
        <v>18</v>
      </c>
      <c r="J272" s="1" t="s">
        <v>21</v>
      </c>
      <c r="K272" s="6" t="s">
        <v>6620</v>
      </c>
      <c r="L272" s="6" t="s">
        <v>6621</v>
      </c>
      <c r="M272" s="1" t="s">
        <v>6622</v>
      </c>
      <c r="O272" s="5">
        <v>41275.0</v>
      </c>
      <c r="R272" s="1" t="b">
        <v>0</v>
      </c>
      <c r="S272" s="1">
        <v>0.0</v>
      </c>
      <c r="T272" s="1">
        <v>3711.0</v>
      </c>
      <c r="U272" s="1" t="b">
        <v>0</v>
      </c>
      <c r="V272" s="1" t="s">
        <v>6623</v>
      </c>
      <c r="W272" s="1" t="s">
        <v>6624</v>
      </c>
      <c r="X272" s="1">
        <v>200.0</v>
      </c>
      <c r="Z272" s="1" t="s">
        <v>752</v>
      </c>
      <c r="AG272" s="5">
        <v>43189.0</v>
      </c>
    </row>
    <row r="273">
      <c r="A273" s="1">
        <v>4672.0</v>
      </c>
      <c r="B273" s="1">
        <v>1.0</v>
      </c>
      <c r="C273" s="1" t="s">
        <v>691</v>
      </c>
      <c r="D273" s="1" t="s">
        <v>5068</v>
      </c>
      <c r="E273" s="5">
        <v>44607.0</v>
      </c>
      <c r="F273" s="1" t="s">
        <v>692</v>
      </c>
      <c r="G273" s="1" t="s">
        <v>5115</v>
      </c>
      <c r="H273" s="1" t="s">
        <v>5102</v>
      </c>
      <c r="I273" s="1" t="s">
        <v>18</v>
      </c>
      <c r="J273" s="1" t="s">
        <v>21</v>
      </c>
      <c r="K273" s="6" t="s">
        <v>6625</v>
      </c>
      <c r="L273" s="6" t="s">
        <v>6626</v>
      </c>
      <c r="M273" s="1" t="s">
        <v>6627</v>
      </c>
      <c r="O273" s="5">
        <v>41275.0</v>
      </c>
      <c r="R273" s="1" t="b">
        <v>0</v>
      </c>
      <c r="S273" s="1">
        <v>0.0</v>
      </c>
      <c r="T273" s="1">
        <v>63.0</v>
      </c>
      <c r="U273" s="1" t="b">
        <v>0</v>
      </c>
      <c r="V273" s="1" t="s">
        <v>5306</v>
      </c>
      <c r="W273" s="1" t="s">
        <v>6628</v>
      </c>
      <c r="X273" s="1">
        <v>200.0</v>
      </c>
      <c r="Y273" s="1" t="s">
        <v>5142</v>
      </c>
      <c r="Z273" s="1" t="s">
        <v>4711</v>
      </c>
      <c r="AC273" s="1" t="s">
        <v>5077</v>
      </c>
      <c r="AD273" s="1" t="s">
        <v>5093</v>
      </c>
      <c r="AG273" s="5">
        <v>43189.0</v>
      </c>
      <c r="AH273" s="1">
        <v>329275.0</v>
      </c>
    </row>
    <row r="274">
      <c r="A274" s="1">
        <v>4676.0</v>
      </c>
      <c r="B274" s="1">
        <v>0.0</v>
      </c>
      <c r="C274" s="1" t="s">
        <v>6629</v>
      </c>
      <c r="D274" s="1" t="s">
        <v>5068</v>
      </c>
      <c r="F274" s="1" t="s">
        <v>6630</v>
      </c>
      <c r="G274" s="1" t="s">
        <v>5326</v>
      </c>
      <c r="H274" s="1" t="s">
        <v>5070</v>
      </c>
      <c r="I274" s="1" t="s">
        <v>18</v>
      </c>
      <c r="J274" s="1" t="s">
        <v>21</v>
      </c>
      <c r="K274" s="1" t="s">
        <v>5072</v>
      </c>
      <c r="L274" s="6" t="s">
        <v>6631</v>
      </c>
      <c r="M274" s="1" t="s">
        <v>6632</v>
      </c>
      <c r="R274" s="1" t="b">
        <v>0</v>
      </c>
      <c r="S274" s="1">
        <v>0.0</v>
      </c>
      <c r="T274" s="1">
        <v>3703.0</v>
      </c>
      <c r="U274" s="1" t="b">
        <v>0</v>
      </c>
      <c r="V274" s="1" t="s">
        <v>6633</v>
      </c>
      <c r="X274" s="1">
        <v>200.0</v>
      </c>
      <c r="Y274" s="1" t="s">
        <v>5075</v>
      </c>
      <c r="Z274" s="1" t="s">
        <v>2275</v>
      </c>
      <c r="AG274" s="5">
        <v>43189.0</v>
      </c>
    </row>
    <row r="275">
      <c r="A275" s="1">
        <v>4682.0</v>
      </c>
      <c r="B275" s="1">
        <v>0.0</v>
      </c>
      <c r="C275" s="1" t="s">
        <v>6634</v>
      </c>
      <c r="D275" s="1" t="s">
        <v>5068</v>
      </c>
      <c r="E275" s="5">
        <v>43700.0</v>
      </c>
      <c r="F275" s="1" t="s">
        <v>6635</v>
      </c>
      <c r="G275" s="1" t="s">
        <v>5326</v>
      </c>
      <c r="H275" s="1" t="s">
        <v>5102</v>
      </c>
      <c r="I275" s="1" t="s">
        <v>18</v>
      </c>
      <c r="J275" s="1" t="s">
        <v>557</v>
      </c>
      <c r="K275" s="6" t="s">
        <v>6636</v>
      </c>
      <c r="L275" s="6" t="s">
        <v>6637</v>
      </c>
      <c r="M275" s="1" t="s">
        <v>6638</v>
      </c>
      <c r="O275" s="5">
        <v>41640.0</v>
      </c>
      <c r="R275" s="1" t="b">
        <v>0</v>
      </c>
      <c r="S275" s="1">
        <v>0.0</v>
      </c>
      <c r="U275" s="1" t="b">
        <v>0</v>
      </c>
      <c r="V275" s="1" t="s">
        <v>6639</v>
      </c>
      <c r="W275" s="1" t="s">
        <v>6640</v>
      </c>
      <c r="X275" s="1">
        <v>200.0</v>
      </c>
      <c r="Y275" s="1" t="s">
        <v>5075</v>
      </c>
      <c r="AG275" s="5">
        <v>43189.0</v>
      </c>
    </row>
    <row r="276">
      <c r="A276" s="1">
        <v>4683.0</v>
      </c>
      <c r="B276" s="1">
        <v>0.0</v>
      </c>
      <c r="C276" s="1" t="s">
        <v>6641</v>
      </c>
      <c r="D276" s="1" t="s">
        <v>5068</v>
      </c>
      <c r="E276" s="5">
        <v>44043.0</v>
      </c>
      <c r="F276" s="1" t="s">
        <v>6642</v>
      </c>
      <c r="G276" s="1" t="s">
        <v>5115</v>
      </c>
      <c r="H276" s="1" t="s">
        <v>5102</v>
      </c>
      <c r="I276" s="1" t="s">
        <v>18</v>
      </c>
      <c r="J276" s="1" t="s">
        <v>557</v>
      </c>
      <c r="K276" s="1" t="s">
        <v>5072</v>
      </c>
      <c r="L276" s="6" t="s">
        <v>6643</v>
      </c>
      <c r="M276" s="1" t="s">
        <v>6644</v>
      </c>
      <c r="O276" s="5">
        <v>41640.0</v>
      </c>
      <c r="R276" s="1" t="b">
        <v>0</v>
      </c>
      <c r="S276" s="1">
        <v>0.0</v>
      </c>
      <c r="U276" s="1" t="b">
        <v>0</v>
      </c>
      <c r="V276" s="1" t="s">
        <v>6645</v>
      </c>
      <c r="X276" s="1">
        <v>200.0</v>
      </c>
      <c r="Y276" s="1" t="s">
        <v>5075</v>
      </c>
      <c r="AG276" s="5">
        <v>43189.0</v>
      </c>
    </row>
    <row r="277">
      <c r="A277" s="1">
        <v>4684.0</v>
      </c>
      <c r="B277" s="1">
        <v>0.0</v>
      </c>
      <c r="C277" s="1" t="s">
        <v>481</v>
      </c>
      <c r="D277" s="1" t="s">
        <v>5068</v>
      </c>
      <c r="E277" s="5">
        <v>44043.0</v>
      </c>
      <c r="F277" s="1" t="s">
        <v>6646</v>
      </c>
      <c r="G277" s="1" t="s">
        <v>5368</v>
      </c>
      <c r="H277" s="1" t="s">
        <v>5102</v>
      </c>
      <c r="I277" s="1" t="s">
        <v>18</v>
      </c>
      <c r="J277" s="1" t="s">
        <v>557</v>
      </c>
      <c r="K277" s="1" t="s">
        <v>5072</v>
      </c>
      <c r="L277" s="6" t="s">
        <v>6647</v>
      </c>
      <c r="M277" s="1" t="s">
        <v>6648</v>
      </c>
      <c r="O277" s="5">
        <v>41640.0</v>
      </c>
      <c r="R277" s="1" t="b">
        <v>0</v>
      </c>
      <c r="S277" s="1">
        <v>0.0</v>
      </c>
      <c r="U277" s="1" t="b">
        <v>0</v>
      </c>
      <c r="V277" s="1" t="s">
        <v>6372</v>
      </c>
      <c r="X277" s="1">
        <v>200.0</v>
      </c>
      <c r="Y277" s="1" t="s">
        <v>5075</v>
      </c>
      <c r="AG277" s="5">
        <v>43189.0</v>
      </c>
    </row>
    <row r="278">
      <c r="A278" s="1">
        <v>4685.0</v>
      </c>
      <c r="B278" s="1">
        <v>1.0</v>
      </c>
      <c r="C278" s="1" t="s">
        <v>6649</v>
      </c>
      <c r="D278" s="1" t="s">
        <v>5068</v>
      </c>
      <c r="E278" s="5">
        <v>43698.0</v>
      </c>
      <c r="F278" s="1" t="s">
        <v>6650</v>
      </c>
      <c r="G278" s="1" t="s">
        <v>5326</v>
      </c>
      <c r="H278" s="1" t="s">
        <v>5102</v>
      </c>
      <c r="I278" s="1" t="s">
        <v>18</v>
      </c>
      <c r="J278" s="1" t="s">
        <v>557</v>
      </c>
      <c r="K278" s="6" t="s">
        <v>6651</v>
      </c>
      <c r="L278" s="6" t="s">
        <v>6652</v>
      </c>
      <c r="M278" s="1" t="s">
        <v>6653</v>
      </c>
      <c r="O278" s="5">
        <v>41640.0</v>
      </c>
      <c r="R278" s="1" t="b">
        <v>0</v>
      </c>
      <c r="S278" s="1">
        <v>0.0</v>
      </c>
      <c r="U278" s="1" t="b">
        <v>0</v>
      </c>
      <c r="V278" s="1" t="s">
        <v>6654</v>
      </c>
      <c r="W278" s="1" t="s">
        <v>6655</v>
      </c>
      <c r="X278" s="1">
        <v>200.0</v>
      </c>
      <c r="Y278" s="1" t="s">
        <v>5075</v>
      </c>
      <c r="AC278" s="1" t="s">
        <v>5077</v>
      </c>
      <c r="AD278" s="1" t="s">
        <v>5093</v>
      </c>
      <c r="AG278" s="5">
        <v>43189.0</v>
      </c>
      <c r="AH278" s="1">
        <v>301498.0</v>
      </c>
    </row>
    <row r="279">
      <c r="A279" s="1">
        <v>4688.0</v>
      </c>
      <c r="B279" s="1">
        <v>0.0</v>
      </c>
      <c r="C279" s="1" t="s">
        <v>6656</v>
      </c>
      <c r="D279" s="1" t="s">
        <v>5068</v>
      </c>
      <c r="E279" s="5">
        <v>44177.0</v>
      </c>
      <c r="F279" s="1" t="s">
        <v>6657</v>
      </c>
      <c r="G279" s="1" t="s">
        <v>5257</v>
      </c>
      <c r="H279" s="1" t="s">
        <v>5102</v>
      </c>
      <c r="I279" s="1" t="s">
        <v>356</v>
      </c>
      <c r="J279" s="1" t="s">
        <v>70</v>
      </c>
      <c r="K279" s="6" t="s">
        <v>6658</v>
      </c>
      <c r="L279" s="6" t="s">
        <v>6659</v>
      </c>
      <c r="M279" s="1" t="s">
        <v>6660</v>
      </c>
      <c r="O279" s="5">
        <v>41640.0</v>
      </c>
      <c r="Q279" s="5">
        <v>44160.0</v>
      </c>
      <c r="R279" s="1" t="b">
        <v>0</v>
      </c>
      <c r="S279" s="1">
        <v>0.0</v>
      </c>
      <c r="T279" s="1">
        <v>27.0</v>
      </c>
      <c r="U279" s="1" t="b">
        <v>0</v>
      </c>
      <c r="V279" s="1" t="s">
        <v>5119</v>
      </c>
      <c r="W279" s="1" t="s">
        <v>6661</v>
      </c>
      <c r="X279" s="1">
        <v>200.0</v>
      </c>
      <c r="Y279" s="1" t="s">
        <v>5075</v>
      </c>
      <c r="Z279" s="1" t="s">
        <v>3832</v>
      </c>
      <c r="AG279" s="5">
        <v>43189.0</v>
      </c>
    </row>
    <row r="280">
      <c r="A280" s="1">
        <v>4689.0</v>
      </c>
      <c r="B280" s="1">
        <v>1.0</v>
      </c>
      <c r="C280" s="1" t="s">
        <v>6662</v>
      </c>
      <c r="D280" s="1" t="s">
        <v>5068</v>
      </c>
      <c r="F280" s="1" t="s">
        <v>6663</v>
      </c>
      <c r="G280" s="1" t="s">
        <v>5326</v>
      </c>
      <c r="H280" s="1" t="s">
        <v>5102</v>
      </c>
      <c r="I280" s="1" t="s">
        <v>18</v>
      </c>
      <c r="J280" s="1" t="s">
        <v>557</v>
      </c>
      <c r="K280" s="6" t="s">
        <v>6664</v>
      </c>
      <c r="L280" s="6" t="s">
        <v>6665</v>
      </c>
      <c r="M280" s="1" t="s">
        <v>6666</v>
      </c>
      <c r="O280" s="5">
        <v>41640.0</v>
      </c>
      <c r="R280" s="1" t="b">
        <v>0</v>
      </c>
      <c r="S280" s="1">
        <v>0.0</v>
      </c>
      <c r="T280" s="1">
        <v>4682.0</v>
      </c>
      <c r="U280" s="1" t="b">
        <v>0</v>
      </c>
      <c r="V280" s="1" t="s">
        <v>6667</v>
      </c>
      <c r="W280" s="1" t="s">
        <v>6668</v>
      </c>
      <c r="X280" s="1">
        <v>200.0</v>
      </c>
      <c r="Y280" s="1" t="s">
        <v>5142</v>
      </c>
      <c r="Z280" s="1" t="s">
        <v>6635</v>
      </c>
      <c r="AC280" s="1" t="s">
        <v>5077</v>
      </c>
      <c r="AD280" s="1" t="s">
        <v>5093</v>
      </c>
      <c r="AG280" s="5">
        <v>43189.0</v>
      </c>
      <c r="AH280" s="1">
        <v>300918.0</v>
      </c>
    </row>
    <row r="281">
      <c r="A281" s="1">
        <v>4732.0</v>
      </c>
      <c r="B281" s="1">
        <v>0.0</v>
      </c>
      <c r="C281" s="1" t="s">
        <v>6669</v>
      </c>
      <c r="D281" s="1" t="s">
        <v>5068</v>
      </c>
      <c r="F281" s="1" t="s">
        <v>6670</v>
      </c>
      <c r="G281" s="1" t="s">
        <v>5115</v>
      </c>
      <c r="H281" s="1" t="s">
        <v>5102</v>
      </c>
      <c r="I281" s="1" t="s">
        <v>18</v>
      </c>
      <c r="J281" s="1" t="s">
        <v>21</v>
      </c>
      <c r="K281" s="1" t="s">
        <v>5072</v>
      </c>
      <c r="L281" s="6" t="s">
        <v>6671</v>
      </c>
      <c r="M281" s="1" t="s">
        <v>6672</v>
      </c>
      <c r="O281" s="5">
        <v>41640.0</v>
      </c>
      <c r="R281" s="1" t="b">
        <v>0</v>
      </c>
      <c r="S281" s="1">
        <v>0.0</v>
      </c>
      <c r="T281" s="1">
        <v>3705.0</v>
      </c>
      <c r="U281" s="1" t="b">
        <v>0</v>
      </c>
      <c r="V281" s="1" t="s">
        <v>6673</v>
      </c>
      <c r="Y281" s="1" t="s">
        <v>5075</v>
      </c>
      <c r="Z281" s="1" t="s">
        <v>5628</v>
      </c>
      <c r="AG281" s="5">
        <v>43189.0</v>
      </c>
    </row>
    <row r="282">
      <c r="A282" s="1">
        <v>4736.0</v>
      </c>
      <c r="B282" s="1">
        <v>0.0</v>
      </c>
      <c r="C282" s="1" t="s">
        <v>6674</v>
      </c>
      <c r="D282" s="1" t="s">
        <v>5068</v>
      </c>
      <c r="E282" s="5">
        <v>44196.0</v>
      </c>
      <c r="F282" s="1" t="s">
        <v>6675</v>
      </c>
      <c r="G282" s="1" t="s">
        <v>5326</v>
      </c>
      <c r="H282" s="1" t="s">
        <v>5102</v>
      </c>
      <c r="I282" s="1" t="s">
        <v>18</v>
      </c>
      <c r="J282" s="1" t="s">
        <v>557</v>
      </c>
      <c r="K282" s="6" t="s">
        <v>6676</v>
      </c>
      <c r="L282" s="6" t="s">
        <v>6677</v>
      </c>
      <c r="M282" s="1" t="s">
        <v>6678</v>
      </c>
      <c r="O282" s="5">
        <v>41640.0</v>
      </c>
      <c r="R282" s="1" t="b">
        <v>0</v>
      </c>
      <c r="S282" s="1">
        <v>0.0</v>
      </c>
      <c r="T282" s="1">
        <v>4682.0</v>
      </c>
      <c r="U282" s="1" t="b">
        <v>0</v>
      </c>
      <c r="V282" s="1" t="s">
        <v>5182</v>
      </c>
      <c r="W282" s="1" t="s">
        <v>6679</v>
      </c>
      <c r="X282" s="1">
        <v>200.0</v>
      </c>
      <c r="Y282" s="1" t="s">
        <v>5075</v>
      </c>
      <c r="Z282" s="1" t="s">
        <v>6635</v>
      </c>
      <c r="AC282" s="1" t="s">
        <v>5077</v>
      </c>
      <c r="AD282" s="1" t="s">
        <v>5093</v>
      </c>
      <c r="AG282" s="5">
        <v>43189.0</v>
      </c>
      <c r="AH282" s="1">
        <v>285163.0</v>
      </c>
    </row>
    <row r="283">
      <c r="A283" s="1">
        <v>4738.0</v>
      </c>
      <c r="B283" s="1">
        <v>1.0</v>
      </c>
      <c r="C283" s="1" t="s">
        <v>6680</v>
      </c>
      <c r="D283" s="1" t="s">
        <v>5068</v>
      </c>
      <c r="F283" s="1" t="s">
        <v>6681</v>
      </c>
      <c r="G283" s="1" t="s">
        <v>5326</v>
      </c>
      <c r="H283" s="1" t="s">
        <v>5102</v>
      </c>
      <c r="I283" s="1" t="s">
        <v>18</v>
      </c>
      <c r="J283" s="1" t="s">
        <v>557</v>
      </c>
      <c r="K283" s="6" t="s">
        <v>6682</v>
      </c>
      <c r="L283" s="6" t="s">
        <v>6683</v>
      </c>
      <c r="M283" s="1" t="s">
        <v>6684</v>
      </c>
      <c r="O283" s="5">
        <v>41640.0</v>
      </c>
      <c r="R283" s="1" t="b">
        <v>0</v>
      </c>
      <c r="S283" s="1">
        <v>0.0</v>
      </c>
      <c r="T283" s="1">
        <v>4685.0</v>
      </c>
      <c r="U283" s="1" t="b">
        <v>0</v>
      </c>
      <c r="V283" s="1" t="s">
        <v>6654</v>
      </c>
      <c r="W283" s="1" t="s">
        <v>6685</v>
      </c>
      <c r="X283" s="1">
        <v>200.0</v>
      </c>
      <c r="Y283" s="1" t="s">
        <v>5075</v>
      </c>
      <c r="Z283" s="1" t="s">
        <v>6650</v>
      </c>
      <c r="AC283" s="1" t="s">
        <v>5077</v>
      </c>
      <c r="AD283" s="1" t="s">
        <v>5093</v>
      </c>
      <c r="AG283" s="5">
        <v>43189.0</v>
      </c>
      <c r="AH283" s="1">
        <v>301499.0</v>
      </c>
    </row>
    <row r="284">
      <c r="A284" s="1">
        <v>4767.0</v>
      </c>
      <c r="B284" s="1">
        <v>0.0</v>
      </c>
      <c r="C284" s="1" t="s">
        <v>6686</v>
      </c>
      <c r="D284" s="1" t="s">
        <v>5068</v>
      </c>
      <c r="F284" s="1" t="s">
        <v>6687</v>
      </c>
      <c r="G284" s="1" t="s">
        <v>5115</v>
      </c>
      <c r="H284" s="1" t="s">
        <v>5102</v>
      </c>
      <c r="I284" s="1" t="s">
        <v>356</v>
      </c>
      <c r="J284" s="1" t="s">
        <v>5071</v>
      </c>
      <c r="K284" s="6" t="s">
        <v>6688</v>
      </c>
      <c r="L284" s="6" t="s">
        <v>6689</v>
      </c>
      <c r="M284" s="1" t="s">
        <v>6690</v>
      </c>
      <c r="O284" s="5">
        <v>32143.0</v>
      </c>
      <c r="R284" s="1" t="b">
        <v>0</v>
      </c>
      <c r="S284" s="1">
        <v>0.0</v>
      </c>
      <c r="T284" s="1">
        <v>3756.0</v>
      </c>
      <c r="U284" s="1" t="b">
        <v>0</v>
      </c>
      <c r="V284" s="1" t="s">
        <v>5261</v>
      </c>
      <c r="W284" s="1" t="s">
        <v>6691</v>
      </c>
      <c r="X284" s="1">
        <v>200.0</v>
      </c>
      <c r="Y284" s="1" t="s">
        <v>5075</v>
      </c>
      <c r="Z284" s="1" t="s">
        <v>5076</v>
      </c>
      <c r="AG284" s="5">
        <v>43189.0</v>
      </c>
    </row>
    <row r="285">
      <c r="A285" s="1">
        <v>174429.0</v>
      </c>
      <c r="B285" s="1">
        <v>0.0</v>
      </c>
      <c r="C285" s="1" t="s">
        <v>6692</v>
      </c>
      <c r="D285" s="1" t="s">
        <v>5081</v>
      </c>
      <c r="F285" s="1" t="s">
        <v>6693</v>
      </c>
      <c r="G285" s="1" t="s">
        <v>5115</v>
      </c>
      <c r="H285" s="1" t="s">
        <v>5102</v>
      </c>
      <c r="I285" s="1" t="s">
        <v>356</v>
      </c>
      <c r="J285" s="1" t="s">
        <v>5071</v>
      </c>
      <c r="K285" s="6" t="s">
        <v>6694</v>
      </c>
      <c r="L285" s="6" t="s">
        <v>6695</v>
      </c>
      <c r="M285" s="1" t="s">
        <v>6696</v>
      </c>
      <c r="O285" s="5">
        <v>32143.0</v>
      </c>
      <c r="R285" s="1" t="b">
        <v>0</v>
      </c>
      <c r="S285" s="1">
        <v>0.0</v>
      </c>
      <c r="T285" s="1">
        <v>3756.0</v>
      </c>
      <c r="U285" s="1" t="b">
        <v>0</v>
      </c>
      <c r="V285" s="1" t="s">
        <v>5261</v>
      </c>
      <c r="W285" s="1" t="s">
        <v>6691</v>
      </c>
      <c r="X285" s="1">
        <v>200.0</v>
      </c>
      <c r="Z285" s="1" t="s">
        <v>5076</v>
      </c>
      <c r="AA285" s="1" t="s">
        <v>6687</v>
      </c>
      <c r="AG285" s="5">
        <v>43318.0</v>
      </c>
    </row>
    <row r="286">
      <c r="A286" s="1">
        <v>4791.0</v>
      </c>
      <c r="B286" s="1">
        <v>0.0</v>
      </c>
      <c r="C286" s="1" t="s">
        <v>6697</v>
      </c>
      <c r="D286" s="1" t="s">
        <v>5068</v>
      </c>
      <c r="F286" s="1" t="s">
        <v>6698</v>
      </c>
      <c r="G286" s="1" t="s">
        <v>5115</v>
      </c>
      <c r="H286" s="1" t="s">
        <v>5102</v>
      </c>
      <c r="I286" s="1" t="s">
        <v>356</v>
      </c>
      <c r="J286" s="1" t="s">
        <v>5071</v>
      </c>
      <c r="K286" s="6" t="s">
        <v>6699</v>
      </c>
      <c r="L286" s="6" t="s">
        <v>6700</v>
      </c>
      <c r="M286" s="1" t="s">
        <v>6701</v>
      </c>
      <c r="O286" s="5">
        <v>32143.0</v>
      </c>
      <c r="R286" s="1" t="b">
        <v>0</v>
      </c>
      <c r="S286" s="1">
        <v>0.0</v>
      </c>
      <c r="T286" s="1">
        <v>3756.0</v>
      </c>
      <c r="U286" s="1" t="b">
        <v>0</v>
      </c>
      <c r="V286" s="1" t="s">
        <v>5855</v>
      </c>
      <c r="W286" s="1" t="s">
        <v>6702</v>
      </c>
      <c r="X286" s="1">
        <v>200.0</v>
      </c>
      <c r="Y286" s="1" t="s">
        <v>5075</v>
      </c>
      <c r="Z286" s="1" t="s">
        <v>5076</v>
      </c>
      <c r="AG286" s="5">
        <v>43189.0</v>
      </c>
    </row>
    <row r="287">
      <c r="A287" s="1">
        <v>174428.0</v>
      </c>
      <c r="B287" s="1">
        <v>0.0</v>
      </c>
      <c r="C287" s="1" t="s">
        <v>6703</v>
      </c>
      <c r="D287" s="1" t="s">
        <v>5081</v>
      </c>
      <c r="F287" s="1" t="s">
        <v>6704</v>
      </c>
      <c r="G287" s="1" t="s">
        <v>5115</v>
      </c>
      <c r="H287" s="1" t="s">
        <v>5102</v>
      </c>
      <c r="I287" s="1" t="s">
        <v>356</v>
      </c>
      <c r="J287" s="1" t="s">
        <v>5071</v>
      </c>
      <c r="K287" s="6" t="s">
        <v>6705</v>
      </c>
      <c r="L287" s="6" t="s">
        <v>6706</v>
      </c>
      <c r="M287" s="1" t="s">
        <v>6707</v>
      </c>
      <c r="O287" s="5">
        <v>32143.0</v>
      </c>
      <c r="R287" s="1" t="b">
        <v>0</v>
      </c>
      <c r="S287" s="1">
        <v>0.0</v>
      </c>
      <c r="T287" s="1">
        <v>3756.0</v>
      </c>
      <c r="U287" s="1" t="b">
        <v>0</v>
      </c>
      <c r="V287" s="1" t="s">
        <v>5855</v>
      </c>
      <c r="W287" s="1" t="s">
        <v>6702</v>
      </c>
      <c r="X287" s="1">
        <v>200.0</v>
      </c>
      <c r="Z287" s="1" t="s">
        <v>5076</v>
      </c>
      <c r="AA287" s="1" t="s">
        <v>6698</v>
      </c>
      <c r="AG287" s="5">
        <v>43318.0</v>
      </c>
    </row>
    <row r="288">
      <c r="A288" s="1">
        <v>6771.0</v>
      </c>
      <c r="B288" s="1">
        <v>0.0</v>
      </c>
      <c r="C288" s="1" t="s">
        <v>6708</v>
      </c>
      <c r="D288" s="1" t="s">
        <v>5068</v>
      </c>
      <c r="F288" s="1" t="s">
        <v>6709</v>
      </c>
      <c r="G288" s="1" t="s">
        <v>5622</v>
      </c>
      <c r="H288" s="1" t="s">
        <v>5102</v>
      </c>
      <c r="I288" s="1" t="s">
        <v>356</v>
      </c>
      <c r="J288" s="1" t="s">
        <v>21</v>
      </c>
      <c r="K288" s="1" t="s">
        <v>5072</v>
      </c>
      <c r="L288" s="6" t="s">
        <v>6710</v>
      </c>
      <c r="M288" s="1" t="s">
        <v>6711</v>
      </c>
      <c r="O288" s="5">
        <v>26299.0</v>
      </c>
      <c r="R288" s="1" t="b">
        <v>0</v>
      </c>
      <c r="S288" s="1">
        <v>0.0</v>
      </c>
      <c r="T288" s="1">
        <v>3701.0</v>
      </c>
      <c r="U288" s="1" t="b">
        <v>0</v>
      </c>
      <c r="V288" s="1" t="s">
        <v>6712</v>
      </c>
      <c r="X288" s="1">
        <v>408.0</v>
      </c>
      <c r="Y288" s="1" t="s">
        <v>5075</v>
      </c>
      <c r="Z288" s="1" t="s">
        <v>5621</v>
      </c>
      <c r="AG288" s="5">
        <v>43189.0</v>
      </c>
    </row>
    <row r="289">
      <c r="A289" s="1">
        <v>6850.0</v>
      </c>
      <c r="B289" s="1">
        <v>0.0</v>
      </c>
      <c r="C289" s="1" t="s">
        <v>6713</v>
      </c>
      <c r="D289" s="1" t="s">
        <v>5068</v>
      </c>
      <c r="E289" s="5">
        <v>43799.0</v>
      </c>
      <c r="F289" s="1" t="s">
        <v>6714</v>
      </c>
      <c r="G289" s="1" t="s">
        <v>5115</v>
      </c>
      <c r="H289" s="1" t="s">
        <v>5102</v>
      </c>
      <c r="I289" s="1" t="s">
        <v>18</v>
      </c>
      <c r="J289" s="1" t="s">
        <v>557</v>
      </c>
      <c r="K289" s="1" t="s">
        <v>5072</v>
      </c>
      <c r="L289" s="6" t="s">
        <v>6715</v>
      </c>
      <c r="M289" s="1" t="s">
        <v>6716</v>
      </c>
      <c r="O289" s="5">
        <v>41640.0</v>
      </c>
      <c r="R289" s="1" t="b">
        <v>0</v>
      </c>
      <c r="S289" s="1">
        <v>0.0</v>
      </c>
      <c r="U289" s="1" t="b">
        <v>0</v>
      </c>
      <c r="V289" s="1" t="s">
        <v>6673</v>
      </c>
      <c r="X289" s="1">
        <v>408.0</v>
      </c>
      <c r="Y289" s="1" t="s">
        <v>5075</v>
      </c>
      <c r="AG289" s="5">
        <v>43189.0</v>
      </c>
    </row>
    <row r="290">
      <c r="A290" s="1">
        <v>6945.0</v>
      </c>
      <c r="B290" s="1">
        <v>0.0</v>
      </c>
      <c r="C290" s="1" t="s">
        <v>6717</v>
      </c>
      <c r="D290" s="1" t="s">
        <v>5068</v>
      </c>
      <c r="E290" s="5">
        <v>43951.0</v>
      </c>
      <c r="F290" s="1" t="s">
        <v>6718</v>
      </c>
      <c r="G290" s="1" t="s">
        <v>26</v>
      </c>
      <c r="H290" s="1" t="s">
        <v>5102</v>
      </c>
      <c r="I290" s="1" t="s">
        <v>18</v>
      </c>
      <c r="J290" s="1" t="s">
        <v>557</v>
      </c>
      <c r="K290" s="6" t="s">
        <v>6719</v>
      </c>
      <c r="L290" s="6" t="s">
        <v>6720</v>
      </c>
      <c r="M290" s="1" t="s">
        <v>6721</v>
      </c>
      <c r="O290" s="5">
        <v>32874.0</v>
      </c>
      <c r="R290" s="1" t="b">
        <v>0</v>
      </c>
      <c r="S290" s="1">
        <v>0.0</v>
      </c>
      <c r="U290" s="1" t="b">
        <v>0</v>
      </c>
      <c r="V290" s="1" t="s">
        <v>6722</v>
      </c>
      <c r="W290" s="1" t="s">
        <v>6723</v>
      </c>
      <c r="X290" s="1">
        <v>200.0</v>
      </c>
      <c r="Y290" s="1" t="s">
        <v>5075</v>
      </c>
      <c r="AG290" s="5">
        <v>43189.0</v>
      </c>
    </row>
    <row r="291">
      <c r="A291" s="1">
        <v>6951.0</v>
      </c>
      <c r="B291" s="1">
        <v>0.0</v>
      </c>
      <c r="C291" s="1" t="s">
        <v>6724</v>
      </c>
      <c r="D291" s="1" t="s">
        <v>5068</v>
      </c>
      <c r="F291" s="1" t="s">
        <v>6725</v>
      </c>
      <c r="G291" s="1" t="s">
        <v>26</v>
      </c>
      <c r="H291" s="1" t="s">
        <v>5102</v>
      </c>
      <c r="I291" s="1" t="s">
        <v>18</v>
      </c>
      <c r="J291" s="1" t="s">
        <v>557</v>
      </c>
      <c r="K291" s="6" t="s">
        <v>6726</v>
      </c>
      <c r="L291" s="6" t="s">
        <v>6727</v>
      </c>
      <c r="M291" s="1" t="s">
        <v>6728</v>
      </c>
      <c r="O291" s="5">
        <v>32143.0</v>
      </c>
      <c r="R291" s="1" t="b">
        <v>0</v>
      </c>
      <c r="S291" s="1">
        <v>0.0</v>
      </c>
      <c r="U291" s="1" t="b">
        <v>0</v>
      </c>
      <c r="V291" s="1" t="s">
        <v>6729</v>
      </c>
      <c r="X291" s="1">
        <v>200.0</v>
      </c>
      <c r="Y291" s="1" t="s">
        <v>5075</v>
      </c>
      <c r="AG291" s="5">
        <v>43189.0</v>
      </c>
    </row>
    <row r="292">
      <c r="A292" s="1">
        <v>7317.0</v>
      </c>
      <c r="B292" s="1">
        <v>0.0</v>
      </c>
      <c r="C292" s="1" t="s">
        <v>6730</v>
      </c>
      <c r="D292" s="1" t="s">
        <v>5068</v>
      </c>
      <c r="F292" s="1" t="s">
        <v>6731</v>
      </c>
      <c r="G292" s="1" t="s">
        <v>26</v>
      </c>
      <c r="H292" s="1" t="s">
        <v>5102</v>
      </c>
      <c r="I292" s="1" t="s">
        <v>18</v>
      </c>
      <c r="J292" s="1" t="s">
        <v>5149</v>
      </c>
      <c r="K292" s="6" t="s">
        <v>6732</v>
      </c>
      <c r="L292" s="6" t="s">
        <v>6733</v>
      </c>
      <c r="M292" s="1" t="s">
        <v>6734</v>
      </c>
      <c r="O292" s="5">
        <v>42370.0</v>
      </c>
      <c r="R292" s="1" t="b">
        <v>0</v>
      </c>
      <c r="S292" s="1">
        <v>0.0</v>
      </c>
      <c r="T292" s="1">
        <v>296.0</v>
      </c>
      <c r="U292" s="1" t="b">
        <v>0</v>
      </c>
      <c r="V292" s="1" t="s">
        <v>6735</v>
      </c>
      <c r="W292" s="1" t="s">
        <v>6736</v>
      </c>
      <c r="X292" s="1">
        <v>200.0</v>
      </c>
      <c r="Y292" s="1" t="s">
        <v>5075</v>
      </c>
      <c r="Z292" s="1" t="s">
        <v>1357</v>
      </c>
      <c r="AG292" s="5">
        <v>43189.0</v>
      </c>
    </row>
    <row r="293">
      <c r="A293" s="1">
        <v>8877.0</v>
      </c>
      <c r="B293" s="1">
        <v>0.0</v>
      </c>
      <c r="C293" s="1" t="s">
        <v>6737</v>
      </c>
      <c r="D293" s="1" t="s">
        <v>5068</v>
      </c>
      <c r="F293" s="1" t="s">
        <v>6738</v>
      </c>
      <c r="G293" s="1" t="s">
        <v>5122</v>
      </c>
      <c r="H293" s="1" t="s">
        <v>5116</v>
      </c>
      <c r="I293" s="1" t="s">
        <v>18</v>
      </c>
      <c r="J293" s="1" t="s">
        <v>5071</v>
      </c>
      <c r="K293" s="1" t="s">
        <v>5072</v>
      </c>
      <c r="L293" s="6" t="s">
        <v>6739</v>
      </c>
      <c r="M293" s="1" t="s">
        <v>6740</v>
      </c>
      <c r="R293" s="1" t="b">
        <v>0</v>
      </c>
      <c r="S293" s="1">
        <v>0.0</v>
      </c>
      <c r="U293" s="1" t="b">
        <v>0</v>
      </c>
      <c r="V293" s="1" t="s">
        <v>6741</v>
      </c>
      <c r="Y293" s="1" t="s">
        <v>5075</v>
      </c>
      <c r="AG293" s="5">
        <v>43189.0</v>
      </c>
    </row>
    <row r="294">
      <c r="A294" s="1">
        <v>172980.0</v>
      </c>
      <c r="B294" s="1">
        <v>0.0</v>
      </c>
      <c r="C294" s="1" t="s">
        <v>6742</v>
      </c>
      <c r="D294" s="1" t="s">
        <v>5081</v>
      </c>
      <c r="F294" s="1" t="s">
        <v>6743</v>
      </c>
      <c r="G294" s="1" t="s">
        <v>5122</v>
      </c>
      <c r="H294" s="1" t="s">
        <v>5116</v>
      </c>
      <c r="I294" s="1" t="s">
        <v>18</v>
      </c>
      <c r="J294" s="1" t="s">
        <v>5071</v>
      </c>
      <c r="K294" s="1" t="s">
        <v>5072</v>
      </c>
      <c r="L294" s="6" t="s">
        <v>6744</v>
      </c>
      <c r="M294" s="1" t="s">
        <v>6745</v>
      </c>
      <c r="R294" s="1" t="b">
        <v>0</v>
      </c>
      <c r="S294" s="1">
        <v>0.0</v>
      </c>
      <c r="U294" s="1" t="b">
        <v>0</v>
      </c>
      <c r="V294" s="1" t="s">
        <v>6741</v>
      </c>
      <c r="AA294" s="1" t="s">
        <v>6738</v>
      </c>
      <c r="AG294" s="5">
        <v>43298.0</v>
      </c>
    </row>
    <row r="295">
      <c r="A295" s="1">
        <v>8948.0</v>
      </c>
      <c r="B295" s="1">
        <v>0.0</v>
      </c>
      <c r="C295" s="1" t="s">
        <v>3079</v>
      </c>
      <c r="D295" s="1" t="s">
        <v>5068</v>
      </c>
      <c r="E295" s="5">
        <v>43620.0</v>
      </c>
      <c r="F295" s="1" t="s">
        <v>6746</v>
      </c>
      <c r="G295" s="1" t="s">
        <v>6747</v>
      </c>
      <c r="H295" s="1" t="s">
        <v>5102</v>
      </c>
      <c r="I295" s="1" t="s">
        <v>356</v>
      </c>
      <c r="J295" s="1" t="s">
        <v>21</v>
      </c>
      <c r="K295" s="6" t="s">
        <v>6748</v>
      </c>
      <c r="L295" s="6" t="s">
        <v>6749</v>
      </c>
      <c r="M295" s="1" t="s">
        <v>6750</v>
      </c>
      <c r="O295" s="5">
        <v>42370.0</v>
      </c>
      <c r="Q295" s="5">
        <v>43615.0</v>
      </c>
      <c r="R295" s="1" t="b">
        <v>0</v>
      </c>
      <c r="S295" s="1">
        <v>0.0</v>
      </c>
      <c r="U295" s="1" t="b">
        <v>0</v>
      </c>
      <c r="V295" s="1" t="s">
        <v>5644</v>
      </c>
      <c r="W295" s="1" t="s">
        <v>6751</v>
      </c>
      <c r="X295" s="1">
        <v>200.0</v>
      </c>
      <c r="Y295" s="1" t="s">
        <v>5075</v>
      </c>
      <c r="AG295" s="5">
        <v>43189.0</v>
      </c>
    </row>
    <row r="296">
      <c r="A296" s="1">
        <v>9343.0</v>
      </c>
      <c r="B296" s="1">
        <v>0.0</v>
      </c>
      <c r="C296" s="1" t="s">
        <v>6752</v>
      </c>
      <c r="D296" s="1" t="s">
        <v>5068</v>
      </c>
      <c r="F296" s="1" t="s">
        <v>6753</v>
      </c>
      <c r="G296" s="1" t="s">
        <v>5326</v>
      </c>
      <c r="H296" s="1" t="s">
        <v>5102</v>
      </c>
      <c r="I296" s="1" t="s">
        <v>356</v>
      </c>
      <c r="J296" s="1" t="s">
        <v>21</v>
      </c>
      <c r="K296" s="1" t="s">
        <v>5072</v>
      </c>
      <c r="L296" s="6" t="s">
        <v>6754</v>
      </c>
      <c r="M296" s="1" t="s">
        <v>6755</v>
      </c>
      <c r="R296" s="1" t="b">
        <v>0</v>
      </c>
      <c r="S296" s="1">
        <v>0.0</v>
      </c>
      <c r="T296" s="1">
        <v>3711.0</v>
      </c>
      <c r="U296" s="1" t="b">
        <v>0</v>
      </c>
      <c r="V296" s="1" t="s">
        <v>6712</v>
      </c>
      <c r="X296" s="1">
        <v>200.0</v>
      </c>
      <c r="Y296" s="1" t="s">
        <v>5075</v>
      </c>
      <c r="Z296" s="1" t="s">
        <v>752</v>
      </c>
      <c r="AG296" s="5">
        <v>43189.0</v>
      </c>
    </row>
    <row r="297">
      <c r="A297" s="1">
        <v>9492.0</v>
      </c>
      <c r="B297" s="1">
        <v>0.0</v>
      </c>
      <c r="C297" s="1" t="s">
        <v>6756</v>
      </c>
      <c r="D297" s="1" t="s">
        <v>5068</v>
      </c>
      <c r="E297" s="5">
        <v>43449.0</v>
      </c>
      <c r="F297" s="1" t="s">
        <v>6757</v>
      </c>
      <c r="G297" s="1" t="s">
        <v>6747</v>
      </c>
      <c r="H297" s="1" t="s">
        <v>5102</v>
      </c>
      <c r="I297" s="1" t="s">
        <v>18</v>
      </c>
      <c r="J297" s="1" t="s">
        <v>21</v>
      </c>
      <c r="K297" s="6" t="s">
        <v>6758</v>
      </c>
      <c r="L297" s="6" t="s">
        <v>6759</v>
      </c>
      <c r="M297" s="1" t="s">
        <v>6760</v>
      </c>
      <c r="O297" s="5">
        <v>42370.0</v>
      </c>
      <c r="R297" s="1" t="b">
        <v>0</v>
      </c>
      <c r="S297" s="1">
        <v>0.0</v>
      </c>
      <c r="T297" s="1">
        <v>8948.0</v>
      </c>
      <c r="U297" s="1" t="b">
        <v>0</v>
      </c>
      <c r="V297" s="1" t="s">
        <v>5644</v>
      </c>
      <c r="W297" s="1" t="s">
        <v>6761</v>
      </c>
      <c r="X297" s="1">
        <v>200.0</v>
      </c>
      <c r="Y297" s="1" t="s">
        <v>5075</v>
      </c>
      <c r="Z297" s="1" t="s">
        <v>6746</v>
      </c>
      <c r="AG297" s="5">
        <v>43189.0</v>
      </c>
    </row>
    <row r="298">
      <c r="A298" s="1">
        <v>9541.0</v>
      </c>
      <c r="B298" s="1">
        <v>1.0</v>
      </c>
      <c r="C298" s="1" t="s">
        <v>6762</v>
      </c>
      <c r="D298" s="1" t="s">
        <v>5068</v>
      </c>
      <c r="E298" s="5">
        <v>43619.0</v>
      </c>
      <c r="F298" s="1" t="s">
        <v>5683</v>
      </c>
      <c r="G298" s="1" t="s">
        <v>26</v>
      </c>
      <c r="H298" s="1" t="s">
        <v>5102</v>
      </c>
      <c r="I298" s="1" t="s">
        <v>18</v>
      </c>
      <c r="J298" s="1" t="s">
        <v>221</v>
      </c>
      <c r="K298" s="6" t="s">
        <v>6763</v>
      </c>
      <c r="L298" s="6" t="s">
        <v>6764</v>
      </c>
      <c r="M298" s="1" t="s">
        <v>6765</v>
      </c>
      <c r="R298" s="1" t="b">
        <v>0</v>
      </c>
      <c r="S298" s="1">
        <v>0.0</v>
      </c>
      <c r="U298" s="1" t="b">
        <v>0</v>
      </c>
      <c r="V298" s="1" t="s">
        <v>5681</v>
      </c>
      <c r="W298" s="1" t="s">
        <v>6766</v>
      </c>
      <c r="X298" s="1">
        <v>200.0</v>
      </c>
      <c r="Y298" s="1" t="s">
        <v>5075</v>
      </c>
      <c r="AG298" s="5">
        <v>43189.0</v>
      </c>
    </row>
    <row r="299">
      <c r="A299" s="1">
        <v>9557.0</v>
      </c>
      <c r="B299" s="1">
        <v>0.0</v>
      </c>
      <c r="C299" s="1" t="s">
        <v>6767</v>
      </c>
      <c r="D299" s="1" t="s">
        <v>5068</v>
      </c>
      <c r="E299" s="5">
        <v>44019.0</v>
      </c>
      <c r="F299" s="1" t="s">
        <v>6768</v>
      </c>
      <c r="G299" s="1" t="s">
        <v>26</v>
      </c>
      <c r="H299" s="1" t="s">
        <v>5419</v>
      </c>
      <c r="I299" s="1" t="s">
        <v>18</v>
      </c>
      <c r="J299" s="1" t="s">
        <v>21</v>
      </c>
      <c r="K299" s="6" t="s">
        <v>6769</v>
      </c>
      <c r="L299" s="6" t="s">
        <v>6770</v>
      </c>
      <c r="M299" s="1" t="s">
        <v>6771</v>
      </c>
      <c r="R299" s="1" t="b">
        <v>0</v>
      </c>
      <c r="S299" s="1">
        <v>0.0</v>
      </c>
      <c r="T299" s="1">
        <v>3711.0</v>
      </c>
      <c r="U299" s="1" t="b">
        <v>0</v>
      </c>
      <c r="V299" s="1" t="s">
        <v>6004</v>
      </c>
      <c r="W299" s="1" t="s">
        <v>6772</v>
      </c>
      <c r="X299" s="1">
        <v>200.0</v>
      </c>
      <c r="Y299" s="1" t="s">
        <v>5075</v>
      </c>
      <c r="Z299" s="1" t="s">
        <v>752</v>
      </c>
      <c r="AG299" s="5">
        <v>43189.0</v>
      </c>
    </row>
    <row r="300">
      <c r="A300" s="1">
        <v>9558.0</v>
      </c>
      <c r="B300" s="1">
        <v>0.0</v>
      </c>
      <c r="C300" s="1" t="s">
        <v>458</v>
      </c>
      <c r="D300" s="1" t="s">
        <v>5068</v>
      </c>
      <c r="E300" s="5">
        <v>44700.0</v>
      </c>
      <c r="F300" s="1" t="s">
        <v>459</v>
      </c>
      <c r="G300" s="1" t="s">
        <v>5368</v>
      </c>
      <c r="H300" s="1" t="s">
        <v>5419</v>
      </c>
      <c r="I300" s="1" t="s">
        <v>18</v>
      </c>
      <c r="J300" s="1" t="s">
        <v>21</v>
      </c>
      <c r="K300" s="6" t="s">
        <v>6773</v>
      </c>
      <c r="L300" s="6" t="s">
        <v>6774</v>
      </c>
      <c r="M300" s="1" t="s">
        <v>6775</v>
      </c>
      <c r="R300" s="1" t="b">
        <v>0</v>
      </c>
      <c r="S300" s="1">
        <v>0.0</v>
      </c>
      <c r="T300" s="1">
        <v>3711.0</v>
      </c>
      <c r="U300" s="1" t="b">
        <v>0</v>
      </c>
      <c r="V300" s="1" t="s">
        <v>5247</v>
      </c>
      <c r="W300" s="1" t="s">
        <v>6776</v>
      </c>
      <c r="X300" s="1">
        <v>200.0</v>
      </c>
      <c r="Y300" s="1" t="s">
        <v>5075</v>
      </c>
      <c r="Z300" s="1" t="s">
        <v>752</v>
      </c>
      <c r="AC300" s="1" t="s">
        <v>5077</v>
      </c>
      <c r="AD300" s="1" t="s">
        <v>5078</v>
      </c>
      <c r="AG300" s="5">
        <v>43189.0</v>
      </c>
      <c r="AH300" s="1">
        <v>349570.0</v>
      </c>
    </row>
    <row r="301">
      <c r="A301" s="1">
        <v>10372.0</v>
      </c>
      <c r="B301" s="1">
        <v>0.0</v>
      </c>
      <c r="C301" s="1" t="s">
        <v>6777</v>
      </c>
      <c r="D301" s="1" t="s">
        <v>5068</v>
      </c>
      <c r="E301" s="5">
        <v>43354.0</v>
      </c>
      <c r="F301" s="1" t="s">
        <v>6778</v>
      </c>
      <c r="G301" s="1" t="s">
        <v>26</v>
      </c>
      <c r="H301" s="1" t="s">
        <v>5419</v>
      </c>
      <c r="I301" s="1" t="s">
        <v>18</v>
      </c>
      <c r="J301" s="1" t="s">
        <v>21</v>
      </c>
      <c r="K301" s="6" t="s">
        <v>6779</v>
      </c>
      <c r="L301" s="6" t="s">
        <v>6780</v>
      </c>
      <c r="M301" s="1" t="s">
        <v>6781</v>
      </c>
      <c r="R301" s="1" t="b">
        <v>0</v>
      </c>
      <c r="S301" s="1">
        <v>0.0</v>
      </c>
      <c r="T301" s="1">
        <v>3711.0</v>
      </c>
      <c r="U301" s="1" t="b">
        <v>0</v>
      </c>
      <c r="V301" s="1" t="s">
        <v>6782</v>
      </c>
      <c r="W301" s="1" t="s">
        <v>6783</v>
      </c>
      <c r="X301" s="1">
        <v>200.0</v>
      </c>
      <c r="Y301" s="1" t="s">
        <v>5075</v>
      </c>
      <c r="Z301" s="1" t="s">
        <v>752</v>
      </c>
      <c r="AG301" s="5">
        <v>43189.0</v>
      </c>
    </row>
    <row r="302">
      <c r="A302" s="1">
        <v>10425.0</v>
      </c>
      <c r="B302" s="1">
        <v>1.0</v>
      </c>
      <c r="C302" s="1" t="s">
        <v>6784</v>
      </c>
      <c r="D302" s="1" t="s">
        <v>5068</v>
      </c>
      <c r="F302" s="1" t="s">
        <v>6785</v>
      </c>
      <c r="G302" s="1" t="s">
        <v>5622</v>
      </c>
      <c r="H302" s="1" t="s">
        <v>5102</v>
      </c>
      <c r="I302" s="1" t="s">
        <v>18</v>
      </c>
      <c r="J302" s="1" t="s">
        <v>21</v>
      </c>
      <c r="K302" s="6" t="s">
        <v>6786</v>
      </c>
      <c r="L302" s="6" t="s">
        <v>6787</v>
      </c>
      <c r="M302" s="1" t="s">
        <v>6788</v>
      </c>
      <c r="O302" s="5">
        <v>42736.0</v>
      </c>
      <c r="R302" s="1" t="b">
        <v>0</v>
      </c>
      <c r="S302" s="1">
        <v>0.0</v>
      </c>
      <c r="T302" s="1">
        <v>3701.0</v>
      </c>
      <c r="U302" s="1" t="b">
        <v>0</v>
      </c>
      <c r="V302" s="1" t="s">
        <v>6789</v>
      </c>
      <c r="W302" s="1" t="s">
        <v>6790</v>
      </c>
      <c r="X302" s="1">
        <v>200.0</v>
      </c>
      <c r="Y302" s="1" t="s">
        <v>5075</v>
      </c>
      <c r="Z302" s="1" t="s">
        <v>5621</v>
      </c>
      <c r="AG302" s="5">
        <v>43189.0</v>
      </c>
    </row>
    <row r="303">
      <c r="A303" s="1">
        <v>10426.0</v>
      </c>
      <c r="B303" s="1">
        <v>1.0</v>
      </c>
      <c r="C303" s="1" t="s">
        <v>6791</v>
      </c>
      <c r="D303" s="1" t="s">
        <v>5068</v>
      </c>
      <c r="F303" s="1" t="s">
        <v>6792</v>
      </c>
      <c r="G303" s="1" t="s">
        <v>5622</v>
      </c>
      <c r="H303" s="1" t="s">
        <v>5102</v>
      </c>
      <c r="I303" s="1" t="s">
        <v>18</v>
      </c>
      <c r="J303" s="1" t="s">
        <v>21</v>
      </c>
      <c r="K303" s="6" t="s">
        <v>6793</v>
      </c>
      <c r="L303" s="6" t="s">
        <v>6794</v>
      </c>
      <c r="M303" s="1" t="s">
        <v>6795</v>
      </c>
      <c r="O303" s="5">
        <v>42736.0</v>
      </c>
      <c r="R303" s="1" t="b">
        <v>0</v>
      </c>
      <c r="S303" s="1">
        <v>0.0</v>
      </c>
      <c r="T303" s="1">
        <v>3701.0</v>
      </c>
      <c r="U303" s="1" t="b">
        <v>0</v>
      </c>
      <c r="V303" s="1" t="s">
        <v>5626</v>
      </c>
      <c r="W303" s="1" t="s">
        <v>6796</v>
      </c>
      <c r="X303" s="1">
        <v>200.0</v>
      </c>
      <c r="Y303" s="1" t="s">
        <v>5075</v>
      </c>
      <c r="Z303" s="1" t="s">
        <v>5621</v>
      </c>
      <c r="AG303" s="5">
        <v>43189.0</v>
      </c>
    </row>
    <row r="304">
      <c r="A304" s="1">
        <v>12011.0</v>
      </c>
      <c r="B304" s="1">
        <v>1.0</v>
      </c>
      <c r="C304" s="1" t="s">
        <v>6797</v>
      </c>
      <c r="D304" s="1" t="s">
        <v>5068</v>
      </c>
      <c r="E304" s="5">
        <v>43922.0</v>
      </c>
      <c r="F304" s="1" t="s">
        <v>6798</v>
      </c>
      <c r="G304" s="1" t="s">
        <v>26</v>
      </c>
      <c r="H304" s="1" t="s">
        <v>5102</v>
      </c>
      <c r="I304" s="1" t="s">
        <v>18</v>
      </c>
      <c r="J304" s="1" t="s">
        <v>5071</v>
      </c>
      <c r="K304" s="6" t="s">
        <v>6799</v>
      </c>
      <c r="L304" s="6" t="s">
        <v>6800</v>
      </c>
      <c r="M304" s="1" t="s">
        <v>6801</v>
      </c>
      <c r="O304" s="5">
        <v>37622.0</v>
      </c>
      <c r="R304" s="1" t="b">
        <v>0</v>
      </c>
      <c r="S304" s="1">
        <v>0.0</v>
      </c>
      <c r="T304" s="1">
        <v>3756.0</v>
      </c>
      <c r="U304" s="1" t="b">
        <v>0</v>
      </c>
      <c r="V304" s="1" t="s">
        <v>6802</v>
      </c>
      <c r="W304" s="1" t="s">
        <v>6803</v>
      </c>
      <c r="X304" s="1">
        <v>408.0</v>
      </c>
      <c r="Y304" s="1" t="s">
        <v>5142</v>
      </c>
      <c r="Z304" s="1" t="s">
        <v>5076</v>
      </c>
      <c r="AC304" s="1" t="s">
        <v>5077</v>
      </c>
      <c r="AD304" s="1" t="s">
        <v>5093</v>
      </c>
      <c r="AG304" s="5">
        <v>43189.0</v>
      </c>
      <c r="AH304" s="1">
        <v>191714.0</v>
      </c>
    </row>
    <row r="305">
      <c r="A305" s="1">
        <v>174453.0</v>
      </c>
      <c r="B305" s="1">
        <v>1.0</v>
      </c>
      <c r="C305" s="1" t="s">
        <v>6804</v>
      </c>
      <c r="D305" s="1" t="s">
        <v>5081</v>
      </c>
      <c r="E305" s="5">
        <v>43922.0</v>
      </c>
      <c r="F305" s="1" t="s">
        <v>6805</v>
      </c>
      <c r="G305" s="1" t="s">
        <v>26</v>
      </c>
      <c r="H305" s="1" t="s">
        <v>5102</v>
      </c>
      <c r="I305" s="1" t="s">
        <v>18</v>
      </c>
      <c r="J305" s="1" t="s">
        <v>5071</v>
      </c>
      <c r="K305" s="6" t="s">
        <v>6806</v>
      </c>
      <c r="L305" s="6" t="s">
        <v>6807</v>
      </c>
      <c r="M305" s="1" t="s">
        <v>6808</v>
      </c>
      <c r="O305" s="5">
        <v>37622.0</v>
      </c>
      <c r="R305" s="1" t="b">
        <v>0</v>
      </c>
      <c r="S305" s="1">
        <v>0.0</v>
      </c>
      <c r="T305" s="1">
        <v>3756.0</v>
      </c>
      <c r="U305" s="1" t="b">
        <v>0</v>
      </c>
      <c r="V305" s="1" t="s">
        <v>6802</v>
      </c>
      <c r="W305" s="1" t="s">
        <v>6803</v>
      </c>
      <c r="X305" s="1">
        <v>200.0</v>
      </c>
      <c r="Y305" s="1" t="s">
        <v>5075</v>
      </c>
      <c r="Z305" s="1" t="s">
        <v>5076</v>
      </c>
      <c r="AA305" s="1" t="s">
        <v>6798</v>
      </c>
      <c r="AG305" s="5">
        <v>43318.0</v>
      </c>
    </row>
    <row r="306">
      <c r="A306" s="1">
        <v>12116.0</v>
      </c>
      <c r="B306" s="1">
        <v>1.0</v>
      </c>
      <c r="C306" s="1" t="s">
        <v>654</v>
      </c>
      <c r="D306" s="1" t="s">
        <v>5068</v>
      </c>
      <c r="E306" s="5">
        <v>44639.0</v>
      </c>
      <c r="F306" s="1" t="s">
        <v>655</v>
      </c>
      <c r="G306" s="1" t="s">
        <v>5368</v>
      </c>
      <c r="H306" s="1" t="s">
        <v>5102</v>
      </c>
      <c r="I306" s="1" t="s">
        <v>18</v>
      </c>
      <c r="J306" s="1" t="s">
        <v>70</v>
      </c>
      <c r="K306" s="6" t="s">
        <v>6809</v>
      </c>
      <c r="L306" s="6" t="s">
        <v>6810</v>
      </c>
      <c r="M306" s="1" t="s">
        <v>6811</v>
      </c>
      <c r="O306" s="5">
        <v>35431.0</v>
      </c>
      <c r="R306" s="1" t="b">
        <v>0</v>
      </c>
      <c r="S306" s="1">
        <v>0.0</v>
      </c>
      <c r="T306" s="1">
        <v>12115.0</v>
      </c>
      <c r="U306" s="1" t="b">
        <v>0</v>
      </c>
      <c r="V306" s="1" t="s">
        <v>6812</v>
      </c>
      <c r="W306" s="1" t="s">
        <v>6813</v>
      </c>
      <c r="X306" s="1">
        <v>200.0</v>
      </c>
      <c r="Y306" s="1" t="s">
        <v>5075</v>
      </c>
      <c r="Z306" s="1" t="s">
        <v>6814</v>
      </c>
      <c r="AC306" s="1" t="s">
        <v>5077</v>
      </c>
      <c r="AD306" s="1" t="s">
        <v>5093</v>
      </c>
      <c r="AG306" s="5">
        <v>43189.0</v>
      </c>
      <c r="AH306" s="1">
        <v>355194.0</v>
      </c>
    </row>
    <row r="307">
      <c r="A307" s="1">
        <v>12139.0</v>
      </c>
      <c r="B307" s="1">
        <v>0.0</v>
      </c>
      <c r="C307" s="1" t="s">
        <v>6815</v>
      </c>
      <c r="D307" s="1" t="s">
        <v>5068</v>
      </c>
      <c r="E307" s="5">
        <v>44173.0</v>
      </c>
      <c r="F307" s="1" t="s">
        <v>6816</v>
      </c>
      <c r="G307" s="1" t="s">
        <v>26</v>
      </c>
      <c r="H307" s="1" t="s">
        <v>5116</v>
      </c>
      <c r="I307" s="1" t="s">
        <v>356</v>
      </c>
      <c r="J307" s="1" t="s">
        <v>70</v>
      </c>
      <c r="K307" s="6" t="s">
        <v>6817</v>
      </c>
      <c r="L307" s="6" t="s">
        <v>6818</v>
      </c>
      <c r="M307" s="1" t="s">
        <v>6819</v>
      </c>
      <c r="Q307" s="5">
        <v>44235.0</v>
      </c>
      <c r="R307" s="1" t="b">
        <v>0</v>
      </c>
      <c r="S307" s="1">
        <v>0.0</v>
      </c>
      <c r="T307" s="1">
        <v>107.0</v>
      </c>
      <c r="U307" s="1" t="b">
        <v>0</v>
      </c>
      <c r="V307" s="1" t="s">
        <v>6820</v>
      </c>
      <c r="W307" s="1" t="s">
        <v>6821</v>
      </c>
      <c r="X307" s="1">
        <v>200.0</v>
      </c>
      <c r="Z307" s="1" t="s">
        <v>5323</v>
      </c>
      <c r="AG307" s="5">
        <v>43189.0</v>
      </c>
    </row>
    <row r="308">
      <c r="A308" s="1">
        <v>13221.0</v>
      </c>
      <c r="B308" s="1">
        <v>1.0</v>
      </c>
      <c r="C308" s="1" t="s">
        <v>6822</v>
      </c>
      <c r="D308" s="1" t="s">
        <v>5068</v>
      </c>
      <c r="F308" s="1" t="s">
        <v>6823</v>
      </c>
      <c r="G308" s="1" t="s">
        <v>26</v>
      </c>
      <c r="H308" s="1" t="s">
        <v>5116</v>
      </c>
      <c r="I308" s="1" t="s">
        <v>18</v>
      </c>
      <c r="J308" s="1" t="s">
        <v>70</v>
      </c>
      <c r="K308" s="6" t="s">
        <v>6824</v>
      </c>
      <c r="L308" s="6" t="s">
        <v>6825</v>
      </c>
      <c r="M308" s="1" t="s">
        <v>6826</v>
      </c>
      <c r="O308" s="5">
        <v>42736.0</v>
      </c>
      <c r="R308" s="1" t="b">
        <v>0</v>
      </c>
      <c r="S308" s="1">
        <v>0.0</v>
      </c>
      <c r="U308" s="1" t="b">
        <v>0</v>
      </c>
      <c r="V308" s="1" t="s">
        <v>6827</v>
      </c>
      <c r="W308" s="1" t="s">
        <v>6828</v>
      </c>
      <c r="X308" s="1">
        <v>200.0</v>
      </c>
      <c r="Y308" s="1" t="s">
        <v>5075</v>
      </c>
      <c r="AG308" s="5">
        <v>43189.0</v>
      </c>
    </row>
    <row r="309">
      <c r="A309" s="1">
        <v>163304.0</v>
      </c>
      <c r="B309" s="1">
        <v>0.0</v>
      </c>
      <c r="C309" s="1" t="s">
        <v>282</v>
      </c>
      <c r="D309" s="1" t="s">
        <v>5068</v>
      </c>
      <c r="E309" s="5">
        <v>44795.0</v>
      </c>
      <c r="F309" s="1" t="s">
        <v>283</v>
      </c>
      <c r="G309" s="1" t="s">
        <v>5122</v>
      </c>
      <c r="H309" s="1" t="s">
        <v>5419</v>
      </c>
      <c r="I309" s="1" t="s">
        <v>18</v>
      </c>
      <c r="J309" s="1" t="s">
        <v>21</v>
      </c>
      <c r="K309" s="6" t="s">
        <v>6829</v>
      </c>
      <c r="L309" s="6" t="s">
        <v>6830</v>
      </c>
      <c r="M309" s="1" t="s">
        <v>6831</v>
      </c>
      <c r="O309" s="5">
        <v>40169.0</v>
      </c>
      <c r="R309" s="1" t="b">
        <v>0</v>
      </c>
      <c r="S309" s="1">
        <v>0.0</v>
      </c>
      <c r="T309" s="1">
        <v>3711.0</v>
      </c>
      <c r="U309" s="1" t="b">
        <v>0</v>
      </c>
      <c r="V309" s="1" t="s">
        <v>5663</v>
      </c>
      <c r="W309" s="1" t="s">
        <v>6832</v>
      </c>
      <c r="X309" s="1">
        <v>200.0</v>
      </c>
      <c r="Y309" s="1" t="s">
        <v>5142</v>
      </c>
      <c r="Z309" s="1" t="s">
        <v>752</v>
      </c>
      <c r="AC309" s="1" t="s">
        <v>5077</v>
      </c>
      <c r="AD309" s="1" t="s">
        <v>5093</v>
      </c>
      <c r="AG309" s="5">
        <v>43216.0</v>
      </c>
      <c r="AH309" s="1">
        <v>361502.0</v>
      </c>
    </row>
    <row r="310">
      <c r="A310" s="1">
        <v>163305.0</v>
      </c>
      <c r="B310" s="1">
        <v>0.0</v>
      </c>
      <c r="C310" s="1" t="s">
        <v>6833</v>
      </c>
      <c r="D310" s="1" t="s">
        <v>5068</v>
      </c>
      <c r="F310" s="1" t="s">
        <v>6834</v>
      </c>
      <c r="G310" s="1" t="s">
        <v>26</v>
      </c>
      <c r="H310" s="1" t="s">
        <v>5419</v>
      </c>
      <c r="I310" s="1" t="s">
        <v>18</v>
      </c>
      <c r="J310" s="1" t="s">
        <v>21</v>
      </c>
      <c r="K310" s="6" t="s">
        <v>6835</v>
      </c>
      <c r="L310" s="6" t="s">
        <v>6836</v>
      </c>
      <c r="M310" s="1" t="s">
        <v>6837</v>
      </c>
      <c r="R310" s="1" t="b">
        <v>0</v>
      </c>
      <c r="S310" s="1">
        <v>0.0</v>
      </c>
      <c r="T310" s="1">
        <v>3711.0</v>
      </c>
      <c r="U310" s="1" t="b">
        <v>0</v>
      </c>
      <c r="V310" s="1" t="s">
        <v>5688</v>
      </c>
      <c r="W310" s="1" t="s">
        <v>6838</v>
      </c>
      <c r="X310" s="1">
        <v>200.0</v>
      </c>
      <c r="Y310" s="1" t="s">
        <v>5142</v>
      </c>
      <c r="Z310" s="1" t="s">
        <v>752</v>
      </c>
      <c r="AC310" s="1" t="s">
        <v>5077</v>
      </c>
      <c r="AD310" s="1" t="s">
        <v>5093</v>
      </c>
      <c r="AG310" s="5">
        <v>43216.0</v>
      </c>
      <c r="AH310" s="1">
        <v>2673.0</v>
      </c>
    </row>
    <row r="311">
      <c r="A311" s="1">
        <v>163306.0</v>
      </c>
      <c r="B311" s="1">
        <v>0.0</v>
      </c>
      <c r="C311" s="1" t="s">
        <v>506</v>
      </c>
      <c r="D311" s="1" t="s">
        <v>5068</v>
      </c>
      <c r="E311" s="5">
        <v>44691.0</v>
      </c>
      <c r="F311" s="1" t="s">
        <v>507</v>
      </c>
      <c r="G311" s="1" t="s">
        <v>26</v>
      </c>
      <c r="H311" s="1" t="s">
        <v>5419</v>
      </c>
      <c r="I311" s="1" t="s">
        <v>18</v>
      </c>
      <c r="J311" s="1" t="s">
        <v>21</v>
      </c>
      <c r="K311" s="6" t="s">
        <v>6839</v>
      </c>
      <c r="L311" s="6" t="s">
        <v>6840</v>
      </c>
      <c r="M311" s="1" t="s">
        <v>6841</v>
      </c>
      <c r="R311" s="1" t="b">
        <v>0</v>
      </c>
      <c r="S311" s="1">
        <v>0.0</v>
      </c>
      <c r="T311" s="1">
        <v>3711.0</v>
      </c>
      <c r="U311" s="1" t="b">
        <v>0</v>
      </c>
      <c r="V311" s="1" t="s">
        <v>6842</v>
      </c>
      <c r="W311" s="1" t="s">
        <v>6843</v>
      </c>
      <c r="X311" s="1">
        <v>200.0</v>
      </c>
      <c r="Y311" s="1" t="s">
        <v>5142</v>
      </c>
      <c r="Z311" s="1" t="s">
        <v>752</v>
      </c>
      <c r="AC311" s="1" t="s">
        <v>5077</v>
      </c>
      <c r="AD311" s="1" t="s">
        <v>5093</v>
      </c>
      <c r="AG311" s="5">
        <v>43216.0</v>
      </c>
      <c r="AH311" s="1">
        <v>347379.0</v>
      </c>
    </row>
    <row r="312">
      <c r="A312" s="1">
        <v>163307.0</v>
      </c>
      <c r="B312" s="1">
        <v>0.0</v>
      </c>
      <c r="C312" s="1" t="s">
        <v>312</v>
      </c>
      <c r="D312" s="1" t="s">
        <v>5068</v>
      </c>
      <c r="E312" s="5">
        <v>44797.0</v>
      </c>
      <c r="F312" s="1" t="s">
        <v>313</v>
      </c>
      <c r="G312" s="1" t="s">
        <v>26</v>
      </c>
      <c r="H312" s="1" t="s">
        <v>5419</v>
      </c>
      <c r="I312" s="1" t="s">
        <v>18</v>
      </c>
      <c r="J312" s="1" t="s">
        <v>21</v>
      </c>
      <c r="K312" s="6" t="s">
        <v>6844</v>
      </c>
      <c r="L312" s="6" t="s">
        <v>6845</v>
      </c>
      <c r="M312" s="1" t="s">
        <v>6846</v>
      </c>
      <c r="R312" s="1" t="b">
        <v>0</v>
      </c>
      <c r="S312" s="1">
        <v>0.0</v>
      </c>
      <c r="T312" s="1">
        <v>3711.0</v>
      </c>
      <c r="U312" s="1" t="b">
        <v>0</v>
      </c>
      <c r="V312" s="1" t="s">
        <v>6847</v>
      </c>
      <c r="W312" s="1" t="s">
        <v>6848</v>
      </c>
      <c r="X312" s="1">
        <v>200.0</v>
      </c>
      <c r="Y312" s="1" t="s">
        <v>5142</v>
      </c>
      <c r="Z312" s="1" t="s">
        <v>752</v>
      </c>
      <c r="AC312" s="1" t="s">
        <v>5077</v>
      </c>
      <c r="AD312" s="1" t="s">
        <v>5093</v>
      </c>
      <c r="AG312" s="5">
        <v>43216.0</v>
      </c>
      <c r="AH312" s="1">
        <v>361198.0</v>
      </c>
    </row>
    <row r="313">
      <c r="A313" s="1">
        <v>163308.0</v>
      </c>
      <c r="B313" s="1">
        <v>0.0</v>
      </c>
      <c r="C313" s="1" t="s">
        <v>6849</v>
      </c>
      <c r="D313" s="1" t="s">
        <v>5068</v>
      </c>
      <c r="F313" s="1" t="s">
        <v>6850</v>
      </c>
      <c r="G313" s="1" t="s">
        <v>26</v>
      </c>
      <c r="H313" s="1" t="s">
        <v>5419</v>
      </c>
      <c r="I313" s="1" t="s">
        <v>18</v>
      </c>
      <c r="J313" s="1" t="s">
        <v>21</v>
      </c>
      <c r="K313" s="6" t="s">
        <v>6851</v>
      </c>
      <c r="L313" s="6" t="s">
        <v>6852</v>
      </c>
      <c r="M313" s="1" t="s">
        <v>6853</v>
      </c>
      <c r="R313" s="1" t="b">
        <v>0</v>
      </c>
      <c r="S313" s="1">
        <v>0.0</v>
      </c>
      <c r="T313" s="1">
        <v>3711.0</v>
      </c>
      <c r="U313" s="1" t="b">
        <v>0</v>
      </c>
      <c r="V313" s="1" t="s">
        <v>5153</v>
      </c>
      <c r="W313" s="1" t="s">
        <v>6854</v>
      </c>
      <c r="X313" s="1">
        <v>200.0</v>
      </c>
      <c r="Y313" s="1" t="s">
        <v>5142</v>
      </c>
      <c r="Z313" s="1" t="s">
        <v>752</v>
      </c>
      <c r="AC313" s="1" t="s">
        <v>5077</v>
      </c>
      <c r="AD313" s="1" t="s">
        <v>5093</v>
      </c>
      <c r="AG313" s="5">
        <v>43216.0</v>
      </c>
      <c r="AH313" s="1">
        <v>2670.0</v>
      </c>
    </row>
    <row r="314">
      <c r="A314" s="1">
        <v>163309.0</v>
      </c>
      <c r="B314" s="1">
        <v>0.0</v>
      </c>
      <c r="C314" s="1" t="s">
        <v>680</v>
      </c>
      <c r="D314" s="1" t="s">
        <v>5068</v>
      </c>
      <c r="E314" s="5">
        <v>44504.0</v>
      </c>
      <c r="F314" s="1" t="s">
        <v>681</v>
      </c>
      <c r="G314" s="1" t="s">
        <v>26</v>
      </c>
      <c r="H314" s="1" t="s">
        <v>5419</v>
      </c>
      <c r="I314" s="1" t="s">
        <v>18</v>
      </c>
      <c r="J314" s="1" t="s">
        <v>21</v>
      </c>
      <c r="K314" s="6" t="s">
        <v>6855</v>
      </c>
      <c r="L314" s="6" t="s">
        <v>6856</v>
      </c>
      <c r="M314" s="1" t="s">
        <v>6857</v>
      </c>
      <c r="R314" s="1" t="b">
        <v>0</v>
      </c>
      <c r="S314" s="1">
        <v>0.0</v>
      </c>
      <c r="T314" s="1">
        <v>3711.0</v>
      </c>
      <c r="U314" s="1" t="b">
        <v>0</v>
      </c>
      <c r="V314" s="1" t="s">
        <v>6858</v>
      </c>
      <c r="W314" s="1" t="s">
        <v>6859</v>
      </c>
      <c r="X314" s="1">
        <v>200.0</v>
      </c>
      <c r="Y314" s="1" t="s">
        <v>5142</v>
      </c>
      <c r="Z314" s="1" t="s">
        <v>752</v>
      </c>
      <c r="AC314" s="1" t="s">
        <v>5077</v>
      </c>
      <c r="AD314" s="1" t="s">
        <v>5093</v>
      </c>
      <c r="AG314" s="5">
        <v>43216.0</v>
      </c>
      <c r="AH314" s="1">
        <v>320899.0</v>
      </c>
    </row>
    <row r="315">
      <c r="A315" s="1">
        <v>163310.0</v>
      </c>
      <c r="B315" s="1">
        <v>0.0</v>
      </c>
      <c r="C315" s="1" t="s">
        <v>6860</v>
      </c>
      <c r="D315" s="1" t="s">
        <v>5068</v>
      </c>
      <c r="E315" s="5">
        <v>44531.0</v>
      </c>
      <c r="F315" s="1" t="s">
        <v>6861</v>
      </c>
      <c r="G315" s="1" t="s">
        <v>26</v>
      </c>
      <c r="H315" s="1" t="s">
        <v>5419</v>
      </c>
      <c r="I315" s="1" t="s">
        <v>18</v>
      </c>
      <c r="J315" s="1" t="s">
        <v>21</v>
      </c>
      <c r="K315" s="6" t="s">
        <v>6862</v>
      </c>
      <c r="L315" s="6" t="s">
        <v>6863</v>
      </c>
      <c r="M315" s="1" t="s">
        <v>6864</v>
      </c>
      <c r="R315" s="1" t="b">
        <v>0</v>
      </c>
      <c r="S315" s="1">
        <v>0.0</v>
      </c>
      <c r="T315" s="1">
        <v>3711.0</v>
      </c>
      <c r="U315" s="1" t="b">
        <v>0</v>
      </c>
      <c r="V315" s="1" t="s">
        <v>5688</v>
      </c>
      <c r="W315" s="1" t="s">
        <v>6865</v>
      </c>
      <c r="X315" s="1">
        <v>200.0</v>
      </c>
      <c r="Y315" s="1" t="s">
        <v>5142</v>
      </c>
      <c r="Z315" s="1" t="s">
        <v>752</v>
      </c>
      <c r="AC315" s="1" t="s">
        <v>5077</v>
      </c>
      <c r="AD315" s="1" t="s">
        <v>5093</v>
      </c>
      <c r="AG315" s="5">
        <v>43216.0</v>
      </c>
      <c r="AH315" s="1">
        <v>327192.0</v>
      </c>
    </row>
    <row r="316">
      <c r="A316" s="1">
        <v>163311.0</v>
      </c>
      <c r="B316" s="1">
        <v>0.0</v>
      </c>
      <c r="C316" s="1" t="s">
        <v>6866</v>
      </c>
      <c r="D316" s="1" t="s">
        <v>5068</v>
      </c>
      <c r="F316" s="1" t="s">
        <v>6867</v>
      </c>
      <c r="G316" s="1" t="s">
        <v>26</v>
      </c>
      <c r="H316" s="1" t="s">
        <v>5419</v>
      </c>
      <c r="I316" s="1" t="s">
        <v>18</v>
      </c>
      <c r="J316" s="1" t="s">
        <v>21</v>
      </c>
      <c r="K316" s="6" t="s">
        <v>6868</v>
      </c>
      <c r="L316" s="6" t="s">
        <v>6869</v>
      </c>
      <c r="M316" s="1" t="s">
        <v>6870</v>
      </c>
      <c r="R316" s="1" t="b">
        <v>0</v>
      </c>
      <c r="S316" s="1">
        <v>0.0</v>
      </c>
      <c r="T316" s="1">
        <v>3711.0</v>
      </c>
      <c r="U316" s="1" t="b">
        <v>0</v>
      </c>
      <c r="V316" s="1" t="s">
        <v>6498</v>
      </c>
      <c r="W316" s="1" t="s">
        <v>6871</v>
      </c>
      <c r="X316" s="1">
        <v>200.0</v>
      </c>
      <c r="Y316" s="1" t="s">
        <v>5142</v>
      </c>
      <c r="Z316" s="1" t="s">
        <v>752</v>
      </c>
      <c r="AC316" s="1" t="s">
        <v>5077</v>
      </c>
      <c r="AD316" s="1" t="s">
        <v>5093</v>
      </c>
      <c r="AG316" s="5">
        <v>43216.0</v>
      </c>
      <c r="AH316" s="1">
        <v>2675.0</v>
      </c>
    </row>
    <row r="317">
      <c r="A317" s="1">
        <v>163312.0</v>
      </c>
      <c r="B317" s="1">
        <v>0.0</v>
      </c>
      <c r="C317" s="1" t="s">
        <v>287</v>
      </c>
      <c r="D317" s="1" t="s">
        <v>5068</v>
      </c>
      <c r="E317" s="5">
        <v>44795.0</v>
      </c>
      <c r="F317" s="1" t="s">
        <v>288</v>
      </c>
      <c r="G317" s="1" t="s">
        <v>26</v>
      </c>
      <c r="H317" s="1" t="s">
        <v>5419</v>
      </c>
      <c r="I317" s="1" t="s">
        <v>18</v>
      </c>
      <c r="J317" s="1" t="s">
        <v>21</v>
      </c>
      <c r="K317" s="6" t="s">
        <v>6872</v>
      </c>
      <c r="L317" s="6" t="s">
        <v>6873</v>
      </c>
      <c r="M317" s="1" t="s">
        <v>6874</v>
      </c>
      <c r="O317" s="5">
        <v>43131.0</v>
      </c>
      <c r="R317" s="1" t="b">
        <v>0</v>
      </c>
      <c r="S317" s="1">
        <v>0.0</v>
      </c>
      <c r="T317" s="1">
        <v>3711.0</v>
      </c>
      <c r="U317" s="1" t="b">
        <v>0</v>
      </c>
      <c r="V317" s="1" t="s">
        <v>6875</v>
      </c>
      <c r="W317" s="1" t="s">
        <v>6876</v>
      </c>
      <c r="X317" s="1">
        <v>200.0</v>
      </c>
      <c r="Y317" s="1" t="s">
        <v>5142</v>
      </c>
      <c r="Z317" s="1" t="s">
        <v>752</v>
      </c>
      <c r="AC317" s="1" t="s">
        <v>5077</v>
      </c>
      <c r="AD317" s="1" t="s">
        <v>5093</v>
      </c>
      <c r="AG317" s="5">
        <v>43216.0</v>
      </c>
      <c r="AH317" s="1">
        <v>361507.0</v>
      </c>
    </row>
    <row r="318">
      <c r="A318" s="1">
        <v>163313.0</v>
      </c>
      <c r="B318" s="1">
        <v>1.0</v>
      </c>
      <c r="C318" s="1" t="s">
        <v>6877</v>
      </c>
      <c r="D318" s="1" t="s">
        <v>5068</v>
      </c>
      <c r="F318" s="1" t="s">
        <v>6878</v>
      </c>
      <c r="G318" s="1" t="s">
        <v>26</v>
      </c>
      <c r="H318" s="1" t="s">
        <v>5419</v>
      </c>
      <c r="I318" s="1" t="s">
        <v>18</v>
      </c>
      <c r="J318" s="1" t="s">
        <v>21</v>
      </c>
      <c r="K318" s="6" t="s">
        <v>6879</v>
      </c>
      <c r="L318" s="6" t="s">
        <v>6880</v>
      </c>
      <c r="M318" s="1" t="s">
        <v>6881</v>
      </c>
      <c r="R318" s="1" t="b">
        <v>0</v>
      </c>
      <c r="S318" s="1">
        <v>0.0</v>
      </c>
      <c r="T318" s="1">
        <v>3711.0</v>
      </c>
      <c r="U318" s="1" t="b">
        <v>0</v>
      </c>
      <c r="V318" s="1" t="s">
        <v>6882</v>
      </c>
      <c r="W318" s="1" t="s">
        <v>6883</v>
      </c>
      <c r="X318" s="1">
        <v>200.0</v>
      </c>
      <c r="Y318" s="1" t="s">
        <v>5142</v>
      </c>
      <c r="Z318" s="1" t="s">
        <v>752</v>
      </c>
      <c r="AC318" s="1" t="s">
        <v>5077</v>
      </c>
      <c r="AD318" s="1" t="s">
        <v>5093</v>
      </c>
      <c r="AG318" s="5">
        <v>43216.0</v>
      </c>
      <c r="AH318" s="1">
        <v>310567.0</v>
      </c>
    </row>
    <row r="319">
      <c r="A319" s="1">
        <v>163314.0</v>
      </c>
      <c r="B319" s="1">
        <v>0.0</v>
      </c>
      <c r="C319" s="1" t="s">
        <v>302</v>
      </c>
      <c r="D319" s="1" t="s">
        <v>5068</v>
      </c>
      <c r="E319" s="5">
        <v>44797.0</v>
      </c>
      <c r="F319" s="1" t="s">
        <v>303</v>
      </c>
      <c r="G319" s="1" t="s">
        <v>26</v>
      </c>
      <c r="H319" s="1" t="s">
        <v>5419</v>
      </c>
      <c r="I319" s="1" t="s">
        <v>18</v>
      </c>
      <c r="J319" s="1" t="s">
        <v>21</v>
      </c>
      <c r="K319" s="6" t="s">
        <v>6884</v>
      </c>
      <c r="L319" s="6" t="s">
        <v>6885</v>
      </c>
      <c r="M319" s="1" t="s">
        <v>6886</v>
      </c>
      <c r="O319" s="5">
        <v>33055.0</v>
      </c>
      <c r="R319" s="1" t="b">
        <v>0</v>
      </c>
      <c r="S319" s="1">
        <v>0.0</v>
      </c>
      <c r="T319" s="1">
        <v>3711.0</v>
      </c>
      <c r="U319" s="1" t="b">
        <v>0</v>
      </c>
      <c r="V319" s="1" t="s">
        <v>5499</v>
      </c>
      <c r="W319" s="1" t="s">
        <v>6887</v>
      </c>
      <c r="X319" s="1">
        <v>200.0</v>
      </c>
      <c r="Y319" s="1" t="s">
        <v>5142</v>
      </c>
      <c r="Z319" s="1" t="s">
        <v>752</v>
      </c>
      <c r="AC319" s="1" t="s">
        <v>5077</v>
      </c>
      <c r="AD319" s="1" t="s">
        <v>5093</v>
      </c>
      <c r="AG319" s="5">
        <v>43216.0</v>
      </c>
      <c r="AH319" s="1">
        <v>361197.0</v>
      </c>
    </row>
    <row r="320">
      <c r="A320" s="1">
        <v>163315.0</v>
      </c>
      <c r="B320" s="1">
        <v>0.0</v>
      </c>
      <c r="C320" s="1" t="s">
        <v>6888</v>
      </c>
      <c r="D320" s="1" t="s">
        <v>5068</v>
      </c>
      <c r="F320" s="1" t="s">
        <v>6889</v>
      </c>
      <c r="G320" s="1" t="s">
        <v>26</v>
      </c>
      <c r="H320" s="1" t="s">
        <v>5419</v>
      </c>
      <c r="I320" s="1" t="s">
        <v>18</v>
      </c>
      <c r="J320" s="1" t="s">
        <v>21</v>
      </c>
      <c r="K320" s="6" t="s">
        <v>6890</v>
      </c>
      <c r="L320" s="6" t="s">
        <v>6891</v>
      </c>
      <c r="M320" s="1" t="s">
        <v>6892</v>
      </c>
      <c r="R320" s="1" t="b">
        <v>0</v>
      </c>
      <c r="S320" s="1">
        <v>0.0</v>
      </c>
      <c r="T320" s="1">
        <v>3711.0</v>
      </c>
      <c r="U320" s="1" t="b">
        <v>0</v>
      </c>
      <c r="V320" s="1" t="s">
        <v>5306</v>
      </c>
      <c r="W320" s="1" t="s">
        <v>6893</v>
      </c>
      <c r="X320" s="1">
        <v>200.0</v>
      </c>
      <c r="Y320" s="1" t="s">
        <v>5142</v>
      </c>
      <c r="Z320" s="1" t="s">
        <v>752</v>
      </c>
      <c r="AC320" s="1" t="s">
        <v>5077</v>
      </c>
      <c r="AD320" s="1" t="s">
        <v>5093</v>
      </c>
      <c r="AG320" s="5">
        <v>43216.0</v>
      </c>
      <c r="AH320" s="1">
        <v>2651.0</v>
      </c>
    </row>
    <row r="321">
      <c r="A321" s="1">
        <v>163316.0</v>
      </c>
      <c r="B321" s="1">
        <v>0.0</v>
      </c>
      <c r="C321" s="1" t="s">
        <v>232</v>
      </c>
      <c r="D321" s="1" t="s">
        <v>5068</v>
      </c>
      <c r="E321" s="5">
        <v>44837.0</v>
      </c>
      <c r="F321" s="1" t="s">
        <v>233</v>
      </c>
      <c r="G321" s="1" t="s">
        <v>26</v>
      </c>
      <c r="H321" s="1" t="s">
        <v>5419</v>
      </c>
      <c r="I321" s="1" t="s">
        <v>18</v>
      </c>
      <c r="J321" s="1" t="s">
        <v>21</v>
      </c>
      <c r="K321" s="6" t="s">
        <v>6894</v>
      </c>
      <c r="L321" s="6" t="s">
        <v>6895</v>
      </c>
      <c r="M321" s="1" t="s">
        <v>6896</v>
      </c>
      <c r="R321" s="1" t="b">
        <v>0</v>
      </c>
      <c r="S321" s="1">
        <v>0.0</v>
      </c>
      <c r="T321" s="1">
        <v>3711.0</v>
      </c>
      <c r="U321" s="1" t="b">
        <v>0</v>
      </c>
      <c r="V321" s="1" t="s">
        <v>5688</v>
      </c>
      <c r="W321" s="1" t="s">
        <v>6897</v>
      </c>
      <c r="X321" s="1">
        <v>200.0</v>
      </c>
      <c r="Y321" s="1" t="s">
        <v>5142</v>
      </c>
      <c r="Z321" s="1" t="s">
        <v>752</v>
      </c>
      <c r="AC321" s="1" t="s">
        <v>5077</v>
      </c>
      <c r="AD321" s="1" t="s">
        <v>5093</v>
      </c>
      <c r="AE321" s="6" t="s">
        <v>6898</v>
      </c>
      <c r="AG321" s="5">
        <v>43216.0</v>
      </c>
      <c r="AH321" s="1">
        <v>363887.0</v>
      </c>
    </row>
    <row r="322">
      <c r="A322" s="1">
        <v>163824.0</v>
      </c>
      <c r="B322" s="1">
        <v>0.0</v>
      </c>
      <c r="C322" s="1" t="s">
        <v>6899</v>
      </c>
      <c r="D322" s="1" t="s">
        <v>5068</v>
      </c>
      <c r="F322" s="1" t="s">
        <v>6900</v>
      </c>
      <c r="G322" s="1" t="s">
        <v>26</v>
      </c>
      <c r="H322" s="1" t="s">
        <v>5419</v>
      </c>
      <c r="I322" s="1" t="s">
        <v>18</v>
      </c>
      <c r="J322" s="1" t="s">
        <v>21</v>
      </c>
      <c r="K322" s="6" t="s">
        <v>6901</v>
      </c>
      <c r="L322" s="6" t="s">
        <v>6902</v>
      </c>
      <c r="M322" s="1" t="s">
        <v>6903</v>
      </c>
      <c r="O322" s="5">
        <v>41066.0</v>
      </c>
      <c r="R322" s="1" t="b">
        <v>0</v>
      </c>
      <c r="S322" s="1">
        <v>0.0</v>
      </c>
      <c r="T322" s="1">
        <v>3711.0</v>
      </c>
      <c r="U322" s="1" t="b">
        <v>0</v>
      </c>
      <c r="V322" s="1" t="s">
        <v>5688</v>
      </c>
      <c r="W322" s="1" t="s">
        <v>6904</v>
      </c>
      <c r="X322" s="1">
        <v>200.0</v>
      </c>
      <c r="Y322" s="1" t="s">
        <v>5142</v>
      </c>
      <c r="Z322" s="1" t="s">
        <v>752</v>
      </c>
      <c r="AC322" s="1" t="s">
        <v>5077</v>
      </c>
      <c r="AD322" s="1" t="s">
        <v>5093</v>
      </c>
      <c r="AG322" s="5">
        <v>43227.0</v>
      </c>
      <c r="AH322" s="1">
        <v>1517.0</v>
      </c>
    </row>
    <row r="323">
      <c r="A323" s="1">
        <v>164823.0</v>
      </c>
      <c r="B323" s="1">
        <v>0.0</v>
      </c>
      <c r="C323" s="1" t="s">
        <v>6905</v>
      </c>
      <c r="D323" s="1" t="s">
        <v>5068</v>
      </c>
      <c r="F323" s="1" t="s">
        <v>6906</v>
      </c>
      <c r="G323" s="1" t="s">
        <v>26</v>
      </c>
      <c r="H323" s="1" t="s">
        <v>5102</v>
      </c>
      <c r="I323" s="1" t="s">
        <v>18</v>
      </c>
      <c r="J323" s="1" t="s">
        <v>14</v>
      </c>
      <c r="K323" s="1" t="s">
        <v>5072</v>
      </c>
      <c r="L323" s="6" t="s">
        <v>6907</v>
      </c>
      <c r="M323" s="1" t="s">
        <v>6908</v>
      </c>
      <c r="R323" s="1" t="b">
        <v>0</v>
      </c>
      <c r="S323" s="1">
        <v>0.0</v>
      </c>
      <c r="T323" s="1">
        <v>732.0</v>
      </c>
      <c r="U323" s="1" t="b">
        <v>0</v>
      </c>
      <c r="V323" s="1" t="s">
        <v>6909</v>
      </c>
      <c r="X323" s="1">
        <v>408.0</v>
      </c>
      <c r="Y323" s="1" t="s">
        <v>5075</v>
      </c>
      <c r="Z323" s="1" t="s">
        <v>5185</v>
      </c>
      <c r="AG323" s="5">
        <v>43230.0</v>
      </c>
    </row>
    <row r="324">
      <c r="A324" s="1">
        <v>171572.0</v>
      </c>
      <c r="B324" s="1">
        <v>1.0</v>
      </c>
      <c r="C324" s="1" t="s">
        <v>449</v>
      </c>
      <c r="D324" s="1" t="s">
        <v>5068</v>
      </c>
      <c r="E324" s="5">
        <v>44714.0</v>
      </c>
      <c r="F324" s="1" t="s">
        <v>450</v>
      </c>
      <c r="G324" s="1" t="s">
        <v>26</v>
      </c>
      <c r="H324" s="1" t="s">
        <v>5102</v>
      </c>
      <c r="I324" s="1" t="s">
        <v>18</v>
      </c>
      <c r="J324" s="1" t="s">
        <v>24</v>
      </c>
      <c r="K324" s="6" t="s">
        <v>6910</v>
      </c>
      <c r="L324" s="6" t="s">
        <v>6911</v>
      </c>
      <c r="M324" s="1" t="s">
        <v>6912</v>
      </c>
      <c r="O324" s="5">
        <v>39569.0</v>
      </c>
      <c r="P324" s="5">
        <v>40179.0</v>
      </c>
      <c r="R324" s="1" t="b">
        <v>0</v>
      </c>
      <c r="U324" s="1" t="b">
        <v>0</v>
      </c>
      <c r="V324" s="1" t="s">
        <v>6913</v>
      </c>
      <c r="W324" s="1" t="s">
        <v>6914</v>
      </c>
      <c r="X324" s="1">
        <v>200.0</v>
      </c>
      <c r="Y324" s="1" t="s">
        <v>5075</v>
      </c>
      <c r="AC324" s="1" t="s">
        <v>5077</v>
      </c>
      <c r="AD324" s="1" t="s">
        <v>5093</v>
      </c>
      <c r="AG324" s="5">
        <v>43286.0</v>
      </c>
      <c r="AH324" s="1">
        <v>293784.0</v>
      </c>
    </row>
    <row r="325">
      <c r="A325" s="1">
        <v>171575.0</v>
      </c>
      <c r="B325" s="1">
        <v>1.0</v>
      </c>
      <c r="C325" s="1" t="s">
        <v>6915</v>
      </c>
      <c r="D325" s="1" t="s">
        <v>5068</v>
      </c>
      <c r="E325" s="5">
        <v>44537.0</v>
      </c>
      <c r="F325" s="1" t="s">
        <v>6916</v>
      </c>
      <c r="G325" s="1" t="s">
        <v>26</v>
      </c>
      <c r="H325" s="1" t="s">
        <v>5102</v>
      </c>
      <c r="I325" s="1" t="s">
        <v>18</v>
      </c>
      <c r="J325" s="1" t="s">
        <v>24</v>
      </c>
      <c r="K325" s="6" t="s">
        <v>6917</v>
      </c>
      <c r="L325" s="6" t="s">
        <v>6918</v>
      </c>
      <c r="M325" s="1" t="s">
        <v>6919</v>
      </c>
      <c r="O325" s="5">
        <v>39791.0</v>
      </c>
      <c r="P325" s="5">
        <v>40179.0</v>
      </c>
      <c r="R325" s="1" t="b">
        <v>0</v>
      </c>
      <c r="T325" s="1">
        <v>171572.0</v>
      </c>
      <c r="U325" s="1" t="b">
        <v>0</v>
      </c>
      <c r="V325" s="1" t="s">
        <v>6920</v>
      </c>
      <c r="W325" s="1" t="s">
        <v>6921</v>
      </c>
      <c r="X325" s="1">
        <v>200.0</v>
      </c>
      <c r="Y325" s="1" t="s">
        <v>5075</v>
      </c>
      <c r="Z325" s="1" t="s">
        <v>450</v>
      </c>
      <c r="AC325" s="1" t="s">
        <v>5077</v>
      </c>
      <c r="AD325" s="1" t="s">
        <v>5093</v>
      </c>
      <c r="AG325" s="5">
        <v>43286.0</v>
      </c>
      <c r="AH325" s="1">
        <v>338995.0</v>
      </c>
    </row>
    <row r="326">
      <c r="A326" s="1">
        <v>171576.0</v>
      </c>
      <c r="B326" s="1">
        <v>1.0</v>
      </c>
      <c r="C326" s="1" t="s">
        <v>266</v>
      </c>
      <c r="D326" s="1" t="s">
        <v>5068</v>
      </c>
      <c r="E326" s="5">
        <v>44803.0</v>
      </c>
      <c r="F326" s="1" t="s">
        <v>267</v>
      </c>
      <c r="G326" s="1" t="s">
        <v>26</v>
      </c>
      <c r="H326" s="1" t="s">
        <v>5102</v>
      </c>
      <c r="I326" s="1" t="s">
        <v>18</v>
      </c>
      <c r="J326" s="1" t="s">
        <v>24</v>
      </c>
      <c r="K326" s="6" t="s">
        <v>6922</v>
      </c>
      <c r="L326" s="6" t="s">
        <v>6923</v>
      </c>
      <c r="M326" s="1" t="s">
        <v>6924</v>
      </c>
      <c r="O326" s="5">
        <v>41841.0</v>
      </c>
      <c r="P326" s="5">
        <v>41907.0</v>
      </c>
      <c r="R326" s="1" t="b">
        <v>0</v>
      </c>
      <c r="T326" s="1">
        <v>401.0</v>
      </c>
      <c r="U326" s="1" t="b">
        <v>0</v>
      </c>
      <c r="V326" s="1" t="s">
        <v>6925</v>
      </c>
      <c r="W326" s="1" t="s">
        <v>6926</v>
      </c>
      <c r="X326" s="1">
        <v>408.0</v>
      </c>
      <c r="Y326" s="1" t="s">
        <v>5075</v>
      </c>
      <c r="Z326" s="1" t="s">
        <v>5162</v>
      </c>
      <c r="AC326" s="1" t="s">
        <v>5077</v>
      </c>
      <c r="AD326" s="1" t="s">
        <v>5093</v>
      </c>
      <c r="AG326" s="5">
        <v>43286.0</v>
      </c>
      <c r="AH326" s="1">
        <v>299665.0</v>
      </c>
    </row>
    <row r="327">
      <c r="A327" s="1">
        <v>171585.0</v>
      </c>
      <c r="B327" s="1">
        <v>1.0</v>
      </c>
      <c r="C327" s="1" t="s">
        <v>6927</v>
      </c>
      <c r="D327" s="1" t="s">
        <v>5068</v>
      </c>
      <c r="E327" s="5">
        <v>43893.0</v>
      </c>
      <c r="F327" s="1" t="s">
        <v>6928</v>
      </c>
      <c r="G327" s="1" t="s">
        <v>26</v>
      </c>
      <c r="H327" s="1" t="s">
        <v>5102</v>
      </c>
      <c r="I327" s="1" t="s">
        <v>18</v>
      </c>
      <c r="J327" s="1" t="s">
        <v>24</v>
      </c>
      <c r="K327" s="6" t="s">
        <v>6929</v>
      </c>
      <c r="L327" s="6" t="s">
        <v>6930</v>
      </c>
      <c r="M327" s="1" t="s">
        <v>6931</v>
      </c>
      <c r="O327" s="5">
        <v>36091.0</v>
      </c>
      <c r="P327" s="5">
        <v>36091.0</v>
      </c>
      <c r="R327" s="1" t="b">
        <v>0</v>
      </c>
      <c r="T327" s="1">
        <v>3862.0</v>
      </c>
      <c r="U327" s="1" t="b">
        <v>0</v>
      </c>
      <c r="V327" s="1" t="s">
        <v>6932</v>
      </c>
      <c r="W327" s="1" t="s">
        <v>6933</v>
      </c>
      <c r="X327" s="1">
        <v>200.0</v>
      </c>
      <c r="Y327" s="1" t="s">
        <v>5075</v>
      </c>
      <c r="Z327" s="1" t="s">
        <v>5923</v>
      </c>
      <c r="AC327" s="1" t="s">
        <v>5077</v>
      </c>
      <c r="AD327" s="1" t="s">
        <v>5093</v>
      </c>
      <c r="AG327" s="5">
        <v>43290.0</v>
      </c>
      <c r="AH327" s="1">
        <v>293125.0</v>
      </c>
    </row>
    <row r="328">
      <c r="A328" s="1">
        <v>177273.0</v>
      </c>
      <c r="B328" s="1">
        <v>0.0</v>
      </c>
      <c r="C328" s="1" t="s">
        <v>6934</v>
      </c>
      <c r="D328" s="1" t="s">
        <v>5068</v>
      </c>
      <c r="F328" s="1" t="s">
        <v>6935</v>
      </c>
      <c r="G328" s="1" t="s">
        <v>5368</v>
      </c>
      <c r="H328" s="1" t="s">
        <v>5102</v>
      </c>
      <c r="I328" s="1" t="s">
        <v>18</v>
      </c>
      <c r="J328" s="1" t="s">
        <v>14</v>
      </c>
      <c r="K328" s="1" t="s">
        <v>5072</v>
      </c>
      <c r="L328" s="6" t="s">
        <v>6936</v>
      </c>
      <c r="M328" s="1" t="s">
        <v>6937</v>
      </c>
      <c r="O328" s="5">
        <v>42678.0</v>
      </c>
      <c r="P328" s="5">
        <v>42670.0</v>
      </c>
      <c r="R328" s="1" t="b">
        <v>0</v>
      </c>
      <c r="T328" s="1">
        <v>416.0</v>
      </c>
      <c r="U328" s="1" t="b">
        <v>0</v>
      </c>
      <c r="V328" s="1" t="s">
        <v>6938</v>
      </c>
      <c r="X328" s="1">
        <v>200.0</v>
      </c>
      <c r="Y328" s="1" t="s">
        <v>5075</v>
      </c>
      <c r="Z328" s="1" t="s">
        <v>5538</v>
      </c>
      <c r="AG328" s="5">
        <v>43339.0</v>
      </c>
    </row>
    <row r="329">
      <c r="A329" s="1">
        <v>177395.0</v>
      </c>
      <c r="B329" s="1">
        <v>0.0</v>
      </c>
      <c r="C329" s="1" t="s">
        <v>6939</v>
      </c>
      <c r="D329" s="1" t="s">
        <v>5068</v>
      </c>
      <c r="E329" s="5">
        <v>43698.0</v>
      </c>
      <c r="F329" s="1" t="s">
        <v>6940</v>
      </c>
      <c r="G329" s="1" t="s">
        <v>6941</v>
      </c>
      <c r="H329" s="1" t="s">
        <v>5102</v>
      </c>
      <c r="I329" s="1" t="s">
        <v>18</v>
      </c>
      <c r="J329" s="1" t="s">
        <v>5071</v>
      </c>
      <c r="K329" s="1" t="s">
        <v>5072</v>
      </c>
      <c r="L329" s="6" t="s">
        <v>6942</v>
      </c>
      <c r="M329" s="1" t="s">
        <v>6943</v>
      </c>
      <c r="O329" s="5">
        <v>31048.0</v>
      </c>
      <c r="R329" s="1" t="b">
        <v>0</v>
      </c>
      <c r="U329" s="1" t="b">
        <v>0</v>
      </c>
      <c r="V329" s="1" t="s">
        <v>5343</v>
      </c>
      <c r="X329" s="1">
        <v>408.0</v>
      </c>
      <c r="Y329" s="1" t="s">
        <v>5075</v>
      </c>
      <c r="AG329" s="5">
        <v>43340.0</v>
      </c>
    </row>
    <row r="330">
      <c r="A330" s="1">
        <v>177396.0</v>
      </c>
      <c r="B330" s="1">
        <v>0.0</v>
      </c>
      <c r="C330" s="1" t="s">
        <v>6944</v>
      </c>
      <c r="D330" s="1" t="s">
        <v>5081</v>
      </c>
      <c r="E330" s="5">
        <v>43698.0</v>
      </c>
      <c r="F330" s="1" t="s">
        <v>6945</v>
      </c>
      <c r="G330" s="1" t="s">
        <v>6941</v>
      </c>
      <c r="H330" s="1" t="s">
        <v>5102</v>
      </c>
      <c r="I330" s="1" t="s">
        <v>18</v>
      </c>
      <c r="J330" s="1" t="s">
        <v>5071</v>
      </c>
      <c r="K330" s="1" t="s">
        <v>5072</v>
      </c>
      <c r="L330" s="6" t="s">
        <v>6946</v>
      </c>
      <c r="M330" s="1" t="s">
        <v>5125</v>
      </c>
      <c r="O330" s="5">
        <v>31048.0</v>
      </c>
      <c r="R330" s="1" t="b">
        <v>0</v>
      </c>
      <c r="U330" s="1" t="b">
        <v>0</v>
      </c>
      <c r="V330" s="1" t="s">
        <v>5343</v>
      </c>
      <c r="X330" s="1">
        <v>408.0</v>
      </c>
      <c r="AA330" s="1" t="s">
        <v>6940</v>
      </c>
      <c r="AG330" s="5">
        <v>43340.0</v>
      </c>
    </row>
    <row r="331">
      <c r="A331" s="1">
        <v>179745.0</v>
      </c>
      <c r="B331" s="1">
        <v>0.0</v>
      </c>
      <c r="C331" s="1" t="s">
        <v>6947</v>
      </c>
      <c r="D331" s="1" t="s">
        <v>5068</v>
      </c>
      <c r="F331" s="1" t="s">
        <v>6948</v>
      </c>
      <c r="G331" s="1" t="s">
        <v>26</v>
      </c>
      <c r="H331" s="1" t="s">
        <v>5419</v>
      </c>
      <c r="I331" s="1" t="s">
        <v>18</v>
      </c>
      <c r="J331" s="1" t="s">
        <v>21</v>
      </c>
      <c r="K331" s="1" t="s">
        <v>5072</v>
      </c>
      <c r="L331" s="6" t="s">
        <v>6949</v>
      </c>
      <c r="M331" s="1" t="s">
        <v>5125</v>
      </c>
      <c r="O331" s="5">
        <v>43354.0</v>
      </c>
      <c r="P331" s="5">
        <v>43370.0</v>
      </c>
      <c r="R331" s="1" t="b">
        <v>1</v>
      </c>
      <c r="U331" s="1" t="b">
        <v>0</v>
      </c>
      <c r="V331" s="1" t="s">
        <v>6950</v>
      </c>
      <c r="AB331" s="1" t="s">
        <v>6778</v>
      </c>
      <c r="AG331" s="5">
        <v>43361.0</v>
      </c>
    </row>
    <row r="332">
      <c r="A332" s="1">
        <v>179776.0</v>
      </c>
      <c r="B332" s="1">
        <v>0.0</v>
      </c>
      <c r="C332" s="1" t="s">
        <v>481</v>
      </c>
      <c r="D332" s="1" t="s">
        <v>5068</v>
      </c>
      <c r="E332" s="5">
        <v>44664.0</v>
      </c>
      <c r="F332" s="1" t="s">
        <v>482</v>
      </c>
      <c r="G332" s="1" t="s">
        <v>26</v>
      </c>
      <c r="H332" s="1" t="s">
        <v>5102</v>
      </c>
      <c r="I332" s="1" t="s">
        <v>18</v>
      </c>
      <c r="J332" s="1" t="s">
        <v>202</v>
      </c>
      <c r="K332" s="6" t="s">
        <v>6951</v>
      </c>
      <c r="L332" s="6" t="s">
        <v>6952</v>
      </c>
      <c r="M332" s="1" t="s">
        <v>6953</v>
      </c>
      <c r="O332" s="5">
        <v>42714.0</v>
      </c>
      <c r="P332" s="5">
        <v>43363.0</v>
      </c>
      <c r="R332" s="1" t="b">
        <v>0</v>
      </c>
      <c r="U332" s="1" t="b">
        <v>0</v>
      </c>
      <c r="V332" s="1" t="s">
        <v>6954</v>
      </c>
      <c r="W332" s="1" t="s">
        <v>6955</v>
      </c>
      <c r="X332" s="1">
        <v>200.0</v>
      </c>
      <c r="Y332" s="1" t="s">
        <v>5075</v>
      </c>
      <c r="AG332" s="5">
        <v>43362.0</v>
      </c>
    </row>
    <row r="333">
      <c r="A333" s="1">
        <v>179777.0</v>
      </c>
      <c r="B333" s="1">
        <v>0.0</v>
      </c>
      <c r="C333" s="1" t="s">
        <v>6956</v>
      </c>
      <c r="D333" s="1" t="s">
        <v>5081</v>
      </c>
      <c r="E333" s="5">
        <v>44664.0</v>
      </c>
      <c r="F333" s="1" t="s">
        <v>6957</v>
      </c>
      <c r="G333" s="1" t="s">
        <v>26</v>
      </c>
      <c r="H333" s="1" t="s">
        <v>5102</v>
      </c>
      <c r="I333" s="1" t="s">
        <v>18</v>
      </c>
      <c r="J333" s="1" t="s">
        <v>202</v>
      </c>
      <c r="K333" s="6" t="s">
        <v>6958</v>
      </c>
      <c r="L333" s="6" t="s">
        <v>6959</v>
      </c>
      <c r="M333" s="1" t="s">
        <v>6960</v>
      </c>
      <c r="O333" s="5">
        <v>42714.0</v>
      </c>
      <c r="P333" s="5">
        <v>43363.0</v>
      </c>
      <c r="R333" s="1" t="b">
        <v>0</v>
      </c>
      <c r="U333" s="1" t="b">
        <v>1</v>
      </c>
      <c r="V333" s="1" t="s">
        <v>6954</v>
      </c>
      <c r="W333" s="1" t="s">
        <v>6955</v>
      </c>
      <c r="X333" s="1">
        <v>200.0</v>
      </c>
      <c r="AA333" s="1" t="s">
        <v>482</v>
      </c>
      <c r="AG333" s="5">
        <v>43362.0</v>
      </c>
    </row>
    <row r="334">
      <c r="A334" s="1">
        <v>179778.0</v>
      </c>
      <c r="B334" s="1">
        <v>0.0</v>
      </c>
      <c r="C334" s="1" t="s">
        <v>6961</v>
      </c>
      <c r="D334" s="1" t="s">
        <v>5068</v>
      </c>
      <c r="E334" s="5">
        <v>44370.0</v>
      </c>
      <c r="F334" s="1" t="s">
        <v>6962</v>
      </c>
      <c r="G334" s="1" t="s">
        <v>26</v>
      </c>
      <c r="H334" s="1" t="s">
        <v>5102</v>
      </c>
      <c r="I334" s="1" t="s">
        <v>18</v>
      </c>
      <c r="J334" s="1" t="s">
        <v>5071</v>
      </c>
      <c r="K334" s="6" t="s">
        <v>6963</v>
      </c>
      <c r="L334" s="6" t="s">
        <v>6964</v>
      </c>
      <c r="M334" s="1" t="s">
        <v>6965</v>
      </c>
      <c r="O334" s="5">
        <v>43292.0</v>
      </c>
      <c r="P334" s="5">
        <v>43302.0</v>
      </c>
      <c r="R334" s="1" t="b">
        <v>0</v>
      </c>
      <c r="T334" s="1">
        <v>213513.0</v>
      </c>
      <c r="U334" s="1" t="b">
        <v>0</v>
      </c>
      <c r="V334" s="1" t="s">
        <v>6966</v>
      </c>
      <c r="W334" s="1" t="s">
        <v>6967</v>
      </c>
      <c r="X334" s="1">
        <v>200.0</v>
      </c>
      <c r="Y334" s="1" t="s">
        <v>5075</v>
      </c>
      <c r="Z334" s="1" t="s">
        <v>389</v>
      </c>
      <c r="AG334" s="5">
        <v>43362.0</v>
      </c>
    </row>
    <row r="335">
      <c r="A335" s="1">
        <v>179779.0</v>
      </c>
      <c r="B335" s="1">
        <v>0.0</v>
      </c>
      <c r="C335" s="1" t="s">
        <v>6968</v>
      </c>
      <c r="D335" s="1" t="s">
        <v>5081</v>
      </c>
      <c r="E335" s="5">
        <v>44370.0</v>
      </c>
      <c r="F335" s="1" t="s">
        <v>6969</v>
      </c>
      <c r="G335" s="1" t="s">
        <v>26</v>
      </c>
      <c r="H335" s="1" t="s">
        <v>5102</v>
      </c>
      <c r="I335" s="1" t="s">
        <v>18</v>
      </c>
      <c r="J335" s="1" t="s">
        <v>5071</v>
      </c>
      <c r="K335" s="6" t="s">
        <v>6970</v>
      </c>
      <c r="L335" s="6" t="s">
        <v>6971</v>
      </c>
      <c r="M335" s="1" t="s">
        <v>6972</v>
      </c>
      <c r="O335" s="5">
        <v>43292.0</v>
      </c>
      <c r="P335" s="5">
        <v>43302.0</v>
      </c>
      <c r="R335" s="1" t="b">
        <v>0</v>
      </c>
      <c r="T335" s="1">
        <v>213513.0</v>
      </c>
      <c r="U335" s="1" t="b">
        <v>1</v>
      </c>
      <c r="V335" s="1" t="s">
        <v>6966</v>
      </c>
      <c r="W335" s="1" t="s">
        <v>6967</v>
      </c>
      <c r="X335" s="1">
        <v>200.0</v>
      </c>
      <c r="Z335" s="1" t="s">
        <v>389</v>
      </c>
      <c r="AA335" s="1" t="s">
        <v>6962</v>
      </c>
      <c r="AG335" s="5">
        <v>43362.0</v>
      </c>
    </row>
    <row r="336">
      <c r="A336" s="1">
        <v>182038.0</v>
      </c>
      <c r="B336" s="1">
        <v>0.0</v>
      </c>
      <c r="C336" s="1" t="s">
        <v>6973</v>
      </c>
      <c r="D336" s="1" t="s">
        <v>5068</v>
      </c>
      <c r="E336" s="5">
        <v>43538.0</v>
      </c>
      <c r="F336" s="1" t="s">
        <v>6974</v>
      </c>
      <c r="G336" s="1" t="s">
        <v>5115</v>
      </c>
      <c r="H336" s="1" t="s">
        <v>5116</v>
      </c>
      <c r="I336" s="1" t="s">
        <v>356</v>
      </c>
      <c r="J336" s="1" t="s">
        <v>21</v>
      </c>
      <c r="K336" s="6" t="s">
        <v>6975</v>
      </c>
      <c r="L336" s="6" t="s">
        <v>5117</v>
      </c>
      <c r="M336" s="1" t="s">
        <v>6976</v>
      </c>
      <c r="O336" s="5">
        <v>43248.0</v>
      </c>
      <c r="P336" s="5">
        <v>43101.0</v>
      </c>
      <c r="R336" s="1" t="b">
        <v>0</v>
      </c>
      <c r="U336" s="1" t="b">
        <v>1</v>
      </c>
      <c r="V336" s="1" t="s">
        <v>6977</v>
      </c>
      <c r="W336" s="1" t="s">
        <v>6978</v>
      </c>
      <c r="Y336" s="1" t="s">
        <v>5075</v>
      </c>
      <c r="AB336" s="1" t="s">
        <v>5114</v>
      </c>
      <c r="AC336" s="1" t="s">
        <v>5077</v>
      </c>
      <c r="AD336" s="1" t="s">
        <v>5093</v>
      </c>
      <c r="AG336" s="5">
        <v>43392.0</v>
      </c>
      <c r="AH336" s="1">
        <v>78957.0</v>
      </c>
    </row>
    <row r="337">
      <c r="A337" s="1">
        <v>183478.0</v>
      </c>
      <c r="B337" s="1">
        <v>0.0</v>
      </c>
      <c r="C337" s="1" t="s">
        <v>6979</v>
      </c>
      <c r="D337" s="1" t="s">
        <v>5068</v>
      </c>
      <c r="F337" s="1" t="s">
        <v>6980</v>
      </c>
      <c r="G337" s="1" t="s">
        <v>26</v>
      </c>
      <c r="H337" s="1" t="s">
        <v>5102</v>
      </c>
      <c r="I337" s="1" t="s">
        <v>52</v>
      </c>
      <c r="J337" s="1" t="s">
        <v>24</v>
      </c>
      <c r="K337" s="1" t="s">
        <v>5072</v>
      </c>
      <c r="L337" s="6" t="s">
        <v>6981</v>
      </c>
      <c r="M337" s="1" t="s">
        <v>5125</v>
      </c>
      <c r="O337" s="5">
        <v>43395.0</v>
      </c>
      <c r="P337" s="5">
        <v>43395.0</v>
      </c>
      <c r="R337" s="1" t="b">
        <v>1</v>
      </c>
      <c r="U337" s="1" t="b">
        <v>0</v>
      </c>
      <c r="V337" s="1" t="s">
        <v>6982</v>
      </c>
      <c r="AB337" s="1" t="s">
        <v>6983</v>
      </c>
      <c r="AG337" s="5">
        <v>43405.0</v>
      </c>
    </row>
    <row r="338">
      <c r="A338" s="1">
        <v>183942.0</v>
      </c>
      <c r="B338" s="1">
        <v>1.0</v>
      </c>
      <c r="C338" s="1" t="s">
        <v>6984</v>
      </c>
      <c r="D338" s="1" t="s">
        <v>5068</v>
      </c>
      <c r="E338" s="5">
        <v>43854.0</v>
      </c>
      <c r="F338" s="1" t="s">
        <v>6985</v>
      </c>
      <c r="G338" s="1" t="s">
        <v>26</v>
      </c>
      <c r="H338" s="1" t="s">
        <v>5102</v>
      </c>
      <c r="I338" s="1" t="s">
        <v>18</v>
      </c>
      <c r="J338" s="1" t="s">
        <v>14</v>
      </c>
      <c r="K338" s="6" t="s">
        <v>6986</v>
      </c>
      <c r="L338" s="6" t="s">
        <v>6987</v>
      </c>
      <c r="M338" s="1" t="s">
        <v>5125</v>
      </c>
      <c r="O338" s="5">
        <v>35796.0</v>
      </c>
      <c r="R338" s="1" t="b">
        <v>0</v>
      </c>
      <c r="U338" s="1" t="b">
        <v>0</v>
      </c>
      <c r="V338" s="1" t="s">
        <v>6988</v>
      </c>
      <c r="W338" s="1" t="s">
        <v>6989</v>
      </c>
      <c r="X338" s="1">
        <v>408.0</v>
      </c>
      <c r="Y338" s="1" t="s">
        <v>5075</v>
      </c>
      <c r="AC338" s="1" t="s">
        <v>5077</v>
      </c>
      <c r="AD338" s="1" t="s">
        <v>5093</v>
      </c>
      <c r="AG338" s="5">
        <v>43410.0</v>
      </c>
      <c r="AH338" s="1">
        <v>172515.0</v>
      </c>
    </row>
    <row r="339">
      <c r="A339" s="1">
        <v>183972.0</v>
      </c>
      <c r="B339" s="1">
        <v>0.0</v>
      </c>
      <c r="C339" s="1" t="s">
        <v>6990</v>
      </c>
      <c r="D339" s="1" t="s">
        <v>5068</v>
      </c>
      <c r="E339" s="5">
        <v>43854.0</v>
      </c>
      <c r="F339" s="1" t="s">
        <v>6991</v>
      </c>
      <c r="G339" s="1" t="s">
        <v>26</v>
      </c>
      <c r="H339" s="1" t="s">
        <v>5102</v>
      </c>
      <c r="I339" s="1" t="s">
        <v>356</v>
      </c>
      <c r="J339" s="1" t="s">
        <v>14</v>
      </c>
      <c r="K339" s="6" t="s">
        <v>6992</v>
      </c>
      <c r="L339" s="6" t="s">
        <v>6993</v>
      </c>
      <c r="M339" s="1" t="s">
        <v>5125</v>
      </c>
      <c r="Q339" s="5">
        <v>43850.0</v>
      </c>
      <c r="R339" s="1" t="b">
        <v>0</v>
      </c>
      <c r="T339" s="1">
        <v>183942.0</v>
      </c>
      <c r="U339" s="1" t="b">
        <v>0</v>
      </c>
      <c r="V339" s="1" t="s">
        <v>6988</v>
      </c>
      <c r="W339" s="1" t="s">
        <v>6994</v>
      </c>
      <c r="X339" s="1">
        <v>200.0</v>
      </c>
      <c r="Y339" s="1" t="s">
        <v>5075</v>
      </c>
      <c r="Z339" s="1" t="s">
        <v>6985</v>
      </c>
      <c r="AC339" s="1" t="s">
        <v>5077</v>
      </c>
      <c r="AD339" s="1" t="s">
        <v>5093</v>
      </c>
      <c r="AG339" s="5">
        <v>43410.0</v>
      </c>
      <c r="AH339" s="1">
        <v>154983.0</v>
      </c>
    </row>
    <row r="340">
      <c r="A340" s="1">
        <v>185760.0</v>
      </c>
      <c r="B340" s="1">
        <v>0.0</v>
      </c>
      <c r="C340" s="1" t="s">
        <v>6995</v>
      </c>
      <c r="D340" s="1" t="s">
        <v>5068</v>
      </c>
      <c r="F340" s="1" t="s">
        <v>6996</v>
      </c>
      <c r="G340" s="1" t="s">
        <v>26</v>
      </c>
      <c r="H340" s="1" t="s">
        <v>5102</v>
      </c>
      <c r="I340" s="1" t="s">
        <v>18</v>
      </c>
      <c r="J340" s="1" t="s">
        <v>21</v>
      </c>
      <c r="K340" s="1" t="s">
        <v>5072</v>
      </c>
      <c r="L340" s="6" t="s">
        <v>6997</v>
      </c>
      <c r="M340" s="1" t="s">
        <v>5125</v>
      </c>
      <c r="O340" s="5">
        <v>35431.0</v>
      </c>
      <c r="R340" s="1" t="b">
        <v>0</v>
      </c>
      <c r="T340" s="1">
        <v>190.0</v>
      </c>
      <c r="U340" s="1" t="b">
        <v>0</v>
      </c>
      <c r="V340" s="1" t="s">
        <v>6372</v>
      </c>
      <c r="X340" s="1">
        <v>408.0</v>
      </c>
      <c r="Y340" s="1" t="s">
        <v>5075</v>
      </c>
      <c r="Z340" s="1" t="s">
        <v>3999</v>
      </c>
      <c r="AG340" s="5">
        <v>43423.0</v>
      </c>
    </row>
    <row r="341">
      <c r="A341" s="1">
        <v>185916.0</v>
      </c>
      <c r="B341" s="1">
        <v>0.0</v>
      </c>
      <c r="C341" s="1" t="s">
        <v>6998</v>
      </c>
      <c r="D341" s="1" t="s">
        <v>5068</v>
      </c>
      <c r="F341" s="1" t="s">
        <v>6999</v>
      </c>
      <c r="G341" s="1" t="s">
        <v>26</v>
      </c>
      <c r="H341" s="1" t="s">
        <v>5070</v>
      </c>
      <c r="I341" s="1" t="s">
        <v>52</v>
      </c>
      <c r="J341" s="1" t="s">
        <v>24</v>
      </c>
      <c r="K341" s="1" t="s">
        <v>5072</v>
      </c>
      <c r="L341" s="6" t="s">
        <v>7000</v>
      </c>
      <c r="M341" s="1">
        <v>0.0</v>
      </c>
      <c r="O341" s="5">
        <v>43320.0</v>
      </c>
      <c r="P341" s="5">
        <v>43344.0</v>
      </c>
      <c r="R341" s="1" t="b">
        <v>1</v>
      </c>
      <c r="U341" s="1" t="b">
        <v>0</v>
      </c>
      <c r="V341" s="1" t="s">
        <v>6982</v>
      </c>
      <c r="AB341" s="1" t="s">
        <v>709</v>
      </c>
      <c r="AG341" s="5">
        <v>43427.0</v>
      </c>
    </row>
    <row r="342">
      <c r="A342" s="1">
        <v>189733.0</v>
      </c>
      <c r="B342" s="1">
        <v>0.0</v>
      </c>
      <c r="C342" s="1" t="s">
        <v>277</v>
      </c>
      <c r="D342" s="1" t="s">
        <v>5068</v>
      </c>
      <c r="E342" s="5">
        <v>44795.0</v>
      </c>
      <c r="F342" s="1" t="s">
        <v>278</v>
      </c>
      <c r="G342" s="1" t="s">
        <v>26</v>
      </c>
      <c r="H342" s="1" t="s">
        <v>5419</v>
      </c>
      <c r="I342" s="1" t="s">
        <v>18</v>
      </c>
      <c r="J342" s="1" t="s">
        <v>21</v>
      </c>
      <c r="K342" s="6" t="s">
        <v>7001</v>
      </c>
      <c r="L342" s="6" t="s">
        <v>7002</v>
      </c>
      <c r="M342" s="1" t="s">
        <v>7003</v>
      </c>
      <c r="O342" s="5">
        <v>43538.0</v>
      </c>
      <c r="P342" s="5">
        <v>43538.0</v>
      </c>
      <c r="R342" s="1" t="b">
        <v>0</v>
      </c>
      <c r="U342" s="1" t="b">
        <v>0</v>
      </c>
      <c r="V342" s="1" t="s">
        <v>7004</v>
      </c>
      <c r="W342" s="1" t="s">
        <v>7005</v>
      </c>
      <c r="X342" s="1">
        <v>200.0</v>
      </c>
      <c r="Y342" s="1" t="s">
        <v>5142</v>
      </c>
      <c r="AC342" s="1" t="s">
        <v>5077</v>
      </c>
      <c r="AD342" s="1" t="s">
        <v>5093</v>
      </c>
      <c r="AG342" s="5">
        <v>43440.0</v>
      </c>
      <c r="AH342" s="1">
        <v>361510.0</v>
      </c>
    </row>
    <row r="343">
      <c r="A343" s="1">
        <v>189734.0</v>
      </c>
      <c r="B343" s="1">
        <v>0.0</v>
      </c>
      <c r="C343" s="1" t="s">
        <v>7006</v>
      </c>
      <c r="D343" s="1" t="s">
        <v>5068</v>
      </c>
      <c r="E343" s="5">
        <v>43929.0</v>
      </c>
      <c r="F343" s="1" t="s">
        <v>7007</v>
      </c>
      <c r="G343" s="1" t="s">
        <v>26</v>
      </c>
      <c r="H343" s="1" t="s">
        <v>5419</v>
      </c>
      <c r="I343" s="1" t="s">
        <v>18</v>
      </c>
      <c r="J343" s="1" t="s">
        <v>21</v>
      </c>
      <c r="K343" s="6" t="s">
        <v>7008</v>
      </c>
      <c r="L343" s="6" t="s">
        <v>7009</v>
      </c>
      <c r="M343" s="1" t="s">
        <v>7010</v>
      </c>
      <c r="O343" s="5">
        <v>38764.0</v>
      </c>
      <c r="R343" s="1" t="b">
        <v>0</v>
      </c>
      <c r="U343" s="1" t="b">
        <v>0</v>
      </c>
      <c r="V343" s="1" t="s">
        <v>7004</v>
      </c>
      <c r="W343" s="1" t="s">
        <v>7011</v>
      </c>
      <c r="X343" s="1">
        <v>200.0</v>
      </c>
      <c r="Y343" s="1" t="s">
        <v>5142</v>
      </c>
      <c r="AC343" s="1" t="s">
        <v>5077</v>
      </c>
      <c r="AD343" s="1" t="s">
        <v>5093</v>
      </c>
      <c r="AG343" s="5">
        <v>43440.0</v>
      </c>
      <c r="AH343" s="1">
        <v>192936.0</v>
      </c>
    </row>
    <row r="344">
      <c r="A344" s="1">
        <v>189735.0</v>
      </c>
      <c r="B344" s="1">
        <v>0.0</v>
      </c>
      <c r="C344" s="1" t="s">
        <v>7012</v>
      </c>
      <c r="D344" s="1" t="s">
        <v>5068</v>
      </c>
      <c r="E344" s="5">
        <v>44385.0</v>
      </c>
      <c r="F344" s="1" t="s">
        <v>7013</v>
      </c>
      <c r="G344" s="1" t="s">
        <v>26</v>
      </c>
      <c r="H344" s="1" t="s">
        <v>5419</v>
      </c>
      <c r="I344" s="1" t="s">
        <v>18</v>
      </c>
      <c r="J344" s="1" t="s">
        <v>21</v>
      </c>
      <c r="K344" s="6" t="s">
        <v>7014</v>
      </c>
      <c r="L344" s="6" t="s">
        <v>7015</v>
      </c>
      <c r="M344" s="1" t="s">
        <v>7016</v>
      </c>
      <c r="O344" s="5">
        <v>43297.0</v>
      </c>
      <c r="P344" s="5">
        <v>43297.0</v>
      </c>
      <c r="R344" s="1" t="b">
        <v>0</v>
      </c>
      <c r="U344" s="1" t="b">
        <v>0</v>
      </c>
      <c r="V344" s="1" t="s">
        <v>5499</v>
      </c>
      <c r="W344" s="1" t="s">
        <v>7017</v>
      </c>
      <c r="X344" s="1">
        <v>200.0</v>
      </c>
      <c r="Y344" s="1" t="s">
        <v>5142</v>
      </c>
      <c r="AC344" s="1" t="s">
        <v>5077</v>
      </c>
      <c r="AD344" s="1" t="s">
        <v>5093</v>
      </c>
      <c r="AG344" s="5">
        <v>43440.0</v>
      </c>
      <c r="AH344" s="1">
        <v>320157.0</v>
      </c>
    </row>
    <row r="345">
      <c r="A345" s="1">
        <v>189736.0</v>
      </c>
      <c r="B345" s="1">
        <v>0.0</v>
      </c>
      <c r="C345" s="1" t="s">
        <v>7018</v>
      </c>
      <c r="D345" s="1" t="s">
        <v>5068</v>
      </c>
      <c r="E345" s="5">
        <v>44182.0</v>
      </c>
      <c r="F345" s="1" t="s">
        <v>7019</v>
      </c>
      <c r="G345" s="1" t="s">
        <v>26</v>
      </c>
      <c r="H345" s="1" t="s">
        <v>5070</v>
      </c>
      <c r="I345" s="1" t="s">
        <v>18</v>
      </c>
      <c r="J345" s="1" t="s">
        <v>21</v>
      </c>
      <c r="K345" s="6" t="s">
        <v>7020</v>
      </c>
      <c r="L345" s="6" t="s">
        <v>7021</v>
      </c>
      <c r="M345" s="1" t="s">
        <v>5125</v>
      </c>
      <c r="O345" s="5">
        <v>42401.0</v>
      </c>
      <c r="R345" s="1" t="b">
        <v>0</v>
      </c>
      <c r="U345" s="1" t="b">
        <v>0</v>
      </c>
      <c r="V345" s="1" t="s">
        <v>7004</v>
      </c>
      <c r="W345" s="1" t="s">
        <v>7022</v>
      </c>
      <c r="X345" s="1">
        <v>200.0</v>
      </c>
      <c r="Y345" s="1" t="s">
        <v>5142</v>
      </c>
      <c r="AC345" s="1" t="s">
        <v>5077</v>
      </c>
      <c r="AD345" s="1" t="s">
        <v>5093</v>
      </c>
      <c r="AG345" s="5">
        <v>43440.0</v>
      </c>
      <c r="AH345" s="1">
        <v>285604.0</v>
      </c>
    </row>
    <row r="346">
      <c r="A346" s="1">
        <v>189747.0</v>
      </c>
      <c r="B346" s="1">
        <v>0.0</v>
      </c>
      <c r="C346" s="1" t="s">
        <v>7023</v>
      </c>
      <c r="D346" s="1" t="s">
        <v>5068</v>
      </c>
      <c r="F346" s="1" t="s">
        <v>7024</v>
      </c>
      <c r="G346" s="1" t="s">
        <v>26</v>
      </c>
      <c r="H346" s="1" t="s">
        <v>5070</v>
      </c>
      <c r="I346" s="1" t="s">
        <v>18</v>
      </c>
      <c r="J346" s="1" t="s">
        <v>70</v>
      </c>
      <c r="K346" s="1" t="s">
        <v>5072</v>
      </c>
      <c r="L346" s="6" t="s">
        <v>7025</v>
      </c>
      <c r="M346" s="1" t="s">
        <v>7026</v>
      </c>
      <c r="O346" s="5">
        <v>42431.0</v>
      </c>
      <c r="R346" s="1" t="b">
        <v>0</v>
      </c>
      <c r="T346" s="1">
        <v>31.0</v>
      </c>
      <c r="U346" s="1" t="b">
        <v>0</v>
      </c>
      <c r="V346" s="1" t="s">
        <v>7027</v>
      </c>
      <c r="W346" s="1" t="s">
        <v>7028</v>
      </c>
      <c r="Y346" s="1" t="s">
        <v>5075</v>
      </c>
      <c r="Z346" s="1" t="s">
        <v>7029</v>
      </c>
      <c r="AG346" s="5">
        <v>43440.0</v>
      </c>
    </row>
    <row r="347">
      <c r="A347" s="1">
        <v>189755.0</v>
      </c>
      <c r="B347" s="1">
        <v>0.0</v>
      </c>
      <c r="C347" s="1" t="s">
        <v>7030</v>
      </c>
      <c r="D347" s="1" t="s">
        <v>5068</v>
      </c>
      <c r="F347" s="1" t="s">
        <v>7031</v>
      </c>
      <c r="G347" s="1" t="s">
        <v>26</v>
      </c>
      <c r="H347" s="1" t="s">
        <v>5102</v>
      </c>
      <c r="I347" s="1" t="s">
        <v>18</v>
      </c>
      <c r="J347" s="1" t="s">
        <v>5071</v>
      </c>
      <c r="K347" s="6" t="s">
        <v>7032</v>
      </c>
      <c r="L347" s="6" t="s">
        <v>7033</v>
      </c>
      <c r="M347" s="1" t="s">
        <v>7034</v>
      </c>
      <c r="O347" s="5">
        <v>43101.0</v>
      </c>
      <c r="P347" s="5">
        <v>43831.0</v>
      </c>
      <c r="R347" s="1" t="b">
        <v>0</v>
      </c>
      <c r="T347" s="1">
        <v>5.0</v>
      </c>
      <c r="U347" s="1" t="b">
        <v>0</v>
      </c>
      <c r="V347" s="1" t="s">
        <v>7035</v>
      </c>
      <c r="W347" s="1" t="s">
        <v>7036</v>
      </c>
      <c r="X347" s="1">
        <v>200.0</v>
      </c>
      <c r="Y347" s="1" t="s">
        <v>5142</v>
      </c>
      <c r="Z347" s="1" t="s">
        <v>5203</v>
      </c>
      <c r="AC347" s="1" t="s">
        <v>5077</v>
      </c>
      <c r="AD347" s="1" t="s">
        <v>5093</v>
      </c>
      <c r="AG347" s="5">
        <v>43440.0</v>
      </c>
      <c r="AH347" s="1">
        <v>199390.0</v>
      </c>
    </row>
    <row r="348">
      <c r="A348" s="1">
        <v>189756.0</v>
      </c>
      <c r="B348" s="1">
        <v>0.0</v>
      </c>
      <c r="C348" s="1" t="s">
        <v>7037</v>
      </c>
      <c r="D348" s="1" t="s">
        <v>5081</v>
      </c>
      <c r="F348" s="1" t="s">
        <v>7038</v>
      </c>
      <c r="G348" s="1" t="s">
        <v>26</v>
      </c>
      <c r="H348" s="1" t="s">
        <v>5102</v>
      </c>
      <c r="I348" s="1" t="s">
        <v>18</v>
      </c>
      <c r="J348" s="1" t="s">
        <v>5071</v>
      </c>
      <c r="K348" s="6" t="s">
        <v>7039</v>
      </c>
      <c r="L348" s="6" t="s">
        <v>7040</v>
      </c>
      <c r="M348" s="1" t="s">
        <v>7041</v>
      </c>
      <c r="O348" s="5">
        <v>43101.0</v>
      </c>
      <c r="P348" s="5">
        <v>43831.0</v>
      </c>
      <c r="R348" s="1" t="b">
        <v>0</v>
      </c>
      <c r="T348" s="1">
        <v>5.0</v>
      </c>
      <c r="U348" s="1" t="b">
        <v>0</v>
      </c>
      <c r="V348" s="1" t="s">
        <v>7035</v>
      </c>
      <c r="W348" s="1" t="s">
        <v>7036</v>
      </c>
      <c r="X348" s="1">
        <v>200.0</v>
      </c>
      <c r="Z348" s="1" t="s">
        <v>5203</v>
      </c>
      <c r="AA348" s="1" t="s">
        <v>7031</v>
      </c>
      <c r="AG348" s="5">
        <v>43440.0</v>
      </c>
    </row>
    <row r="349">
      <c r="A349" s="1">
        <v>189875.0</v>
      </c>
      <c r="B349" s="1">
        <v>0.0</v>
      </c>
      <c r="C349" s="1" t="s">
        <v>7042</v>
      </c>
      <c r="D349" s="1" t="s">
        <v>5068</v>
      </c>
      <c r="F349" s="1" t="s">
        <v>7043</v>
      </c>
      <c r="G349" s="1" t="s">
        <v>5122</v>
      </c>
      <c r="H349" s="1" t="s">
        <v>5102</v>
      </c>
      <c r="I349" s="1" t="s">
        <v>52</v>
      </c>
      <c r="J349" s="1" t="s">
        <v>70</v>
      </c>
      <c r="K349" s="1" t="s">
        <v>5072</v>
      </c>
      <c r="L349" s="6" t="s">
        <v>7044</v>
      </c>
      <c r="M349" s="1" t="s">
        <v>5125</v>
      </c>
      <c r="O349" s="5">
        <v>43440.0</v>
      </c>
      <c r="R349" s="1" t="b">
        <v>1</v>
      </c>
      <c r="U349" s="1" t="b">
        <v>0</v>
      </c>
      <c r="V349" s="1" t="s">
        <v>6982</v>
      </c>
      <c r="AB349" s="1" t="s">
        <v>4022</v>
      </c>
      <c r="AG349" s="5">
        <v>43445.0</v>
      </c>
    </row>
    <row r="350">
      <c r="A350" s="1">
        <v>190307.0</v>
      </c>
      <c r="B350" s="1">
        <v>0.0</v>
      </c>
      <c r="C350" s="1" t="s">
        <v>7045</v>
      </c>
      <c r="D350" s="1" t="s">
        <v>5068</v>
      </c>
      <c r="E350" s="5">
        <v>44895.0</v>
      </c>
      <c r="F350" s="1" t="s">
        <v>7046</v>
      </c>
      <c r="G350" s="1" t="s">
        <v>26</v>
      </c>
      <c r="H350" s="1" t="s">
        <v>5102</v>
      </c>
      <c r="I350" s="1" t="s">
        <v>18</v>
      </c>
      <c r="J350" s="1" t="s">
        <v>21</v>
      </c>
      <c r="K350" s="6" t="s">
        <v>7047</v>
      </c>
      <c r="L350" s="6" t="s">
        <v>7048</v>
      </c>
      <c r="M350" s="1" t="s">
        <v>5125</v>
      </c>
      <c r="O350" s="5">
        <v>36526.0</v>
      </c>
      <c r="R350" s="1" t="b">
        <v>0</v>
      </c>
      <c r="U350" s="1" t="b">
        <v>0</v>
      </c>
      <c r="V350" s="1" t="s">
        <v>5153</v>
      </c>
      <c r="W350" s="1" t="s">
        <v>7049</v>
      </c>
      <c r="X350" s="1">
        <v>200.0</v>
      </c>
      <c r="Y350" s="1" t="s">
        <v>5075</v>
      </c>
      <c r="AG350" s="5">
        <v>43447.0</v>
      </c>
    </row>
    <row r="351">
      <c r="A351" s="1">
        <v>190867.0</v>
      </c>
      <c r="B351" s="1">
        <v>0.0</v>
      </c>
      <c r="C351" s="1" t="s">
        <v>7050</v>
      </c>
      <c r="D351" s="1" t="s">
        <v>5068</v>
      </c>
      <c r="F351" s="1" t="s">
        <v>7051</v>
      </c>
      <c r="G351" s="1" t="s">
        <v>26</v>
      </c>
      <c r="H351" s="1" t="s">
        <v>5070</v>
      </c>
      <c r="I351" s="1" t="s">
        <v>52</v>
      </c>
      <c r="J351" s="1" t="s">
        <v>5071</v>
      </c>
      <c r="K351" s="1" t="s">
        <v>5072</v>
      </c>
      <c r="L351" s="6" t="s">
        <v>7000</v>
      </c>
      <c r="M351" s="1" t="s">
        <v>5125</v>
      </c>
      <c r="O351" s="5">
        <v>43419.0</v>
      </c>
      <c r="R351" s="1" t="b">
        <v>1</v>
      </c>
      <c r="U351" s="1" t="b">
        <v>0</v>
      </c>
      <c r="V351" s="1" t="s">
        <v>6982</v>
      </c>
      <c r="AB351" s="1" t="s">
        <v>5706</v>
      </c>
      <c r="AG351" s="5">
        <v>43452.0</v>
      </c>
    </row>
    <row r="352">
      <c r="A352" s="1">
        <v>190868.0</v>
      </c>
      <c r="B352" s="1">
        <v>0.0</v>
      </c>
      <c r="C352" s="1" t="s">
        <v>7052</v>
      </c>
      <c r="D352" s="1" t="s">
        <v>5081</v>
      </c>
      <c r="F352" s="1" t="s">
        <v>7053</v>
      </c>
      <c r="G352" s="1" t="s">
        <v>26</v>
      </c>
      <c r="H352" s="1" t="s">
        <v>5070</v>
      </c>
      <c r="I352" s="1" t="s">
        <v>52</v>
      </c>
      <c r="J352" s="1" t="s">
        <v>5071</v>
      </c>
      <c r="K352" s="1" t="s">
        <v>5072</v>
      </c>
      <c r="L352" s="6" t="s">
        <v>7000</v>
      </c>
      <c r="M352" s="1" t="s">
        <v>5125</v>
      </c>
      <c r="O352" s="5">
        <v>43419.0</v>
      </c>
      <c r="R352" s="1" t="b">
        <v>1</v>
      </c>
      <c r="U352" s="1" t="b">
        <v>0</v>
      </c>
      <c r="V352" s="1" t="s">
        <v>6982</v>
      </c>
      <c r="AA352" s="1" t="s">
        <v>7051</v>
      </c>
      <c r="AB352" s="1" t="s">
        <v>5711</v>
      </c>
      <c r="AG352" s="5">
        <v>43452.0</v>
      </c>
    </row>
    <row r="353">
      <c r="A353" s="1">
        <v>190895.0</v>
      </c>
      <c r="B353" s="1">
        <v>0.0</v>
      </c>
      <c r="C353" s="1" t="s">
        <v>7054</v>
      </c>
      <c r="D353" s="1" t="s">
        <v>5068</v>
      </c>
      <c r="E353" s="5">
        <v>44173.0</v>
      </c>
      <c r="F353" s="1" t="s">
        <v>7055</v>
      </c>
      <c r="G353" s="1" t="s">
        <v>26</v>
      </c>
      <c r="H353" s="1" t="s">
        <v>5116</v>
      </c>
      <c r="I353" s="1" t="s">
        <v>356</v>
      </c>
      <c r="J353" s="1" t="s">
        <v>70</v>
      </c>
      <c r="K353" s="6" t="s">
        <v>7056</v>
      </c>
      <c r="L353" s="6" t="s">
        <v>7057</v>
      </c>
      <c r="M353" s="1" t="s">
        <v>5125</v>
      </c>
      <c r="O353" s="5">
        <v>43146.0</v>
      </c>
      <c r="P353" s="5">
        <v>43146.0</v>
      </c>
      <c r="Q353" s="5">
        <v>44235.0</v>
      </c>
      <c r="R353" s="1" t="b">
        <v>1</v>
      </c>
      <c r="U353" s="1" t="b">
        <v>0</v>
      </c>
      <c r="V353" s="1" t="s">
        <v>6982</v>
      </c>
      <c r="X353" s="1">
        <v>200.0</v>
      </c>
      <c r="AB353" s="1" t="s">
        <v>6816</v>
      </c>
      <c r="AG353" s="5">
        <v>43452.0</v>
      </c>
    </row>
    <row r="354">
      <c r="A354" s="1">
        <v>190903.0</v>
      </c>
      <c r="B354" s="1">
        <v>0.0</v>
      </c>
      <c r="C354" s="1" t="s">
        <v>7058</v>
      </c>
      <c r="D354" s="1" t="s">
        <v>5068</v>
      </c>
      <c r="F354" s="1" t="s">
        <v>7059</v>
      </c>
      <c r="G354" s="1" t="s">
        <v>26</v>
      </c>
      <c r="H354" s="1" t="s">
        <v>5419</v>
      </c>
      <c r="I354" s="1" t="s">
        <v>52</v>
      </c>
      <c r="J354" s="1" t="s">
        <v>21</v>
      </c>
      <c r="K354" s="1" t="s">
        <v>5072</v>
      </c>
      <c r="L354" s="6" t="s">
        <v>7060</v>
      </c>
      <c r="M354" s="1" t="s">
        <v>5125</v>
      </c>
      <c r="O354" s="5">
        <v>43447.0</v>
      </c>
      <c r="P354" s="5">
        <v>43447.0</v>
      </c>
      <c r="R354" s="1" t="b">
        <v>1</v>
      </c>
      <c r="U354" s="1" t="b">
        <v>0</v>
      </c>
      <c r="V354" s="1" t="s">
        <v>6982</v>
      </c>
      <c r="AB354" s="1" t="s">
        <v>7061</v>
      </c>
      <c r="AG354" s="5">
        <v>43452.0</v>
      </c>
    </row>
    <row r="355">
      <c r="A355" s="1">
        <v>190904.0</v>
      </c>
      <c r="B355" s="1">
        <v>0.0</v>
      </c>
      <c r="C355" s="1" t="s">
        <v>7062</v>
      </c>
      <c r="D355" s="1" t="s">
        <v>5068</v>
      </c>
      <c r="E355" s="5">
        <v>44182.0</v>
      </c>
      <c r="F355" s="1" t="s">
        <v>7063</v>
      </c>
      <c r="G355" s="1" t="s">
        <v>26</v>
      </c>
      <c r="H355" s="1" t="s">
        <v>5070</v>
      </c>
      <c r="I355" s="1" t="s">
        <v>18</v>
      </c>
      <c r="J355" s="1" t="s">
        <v>21</v>
      </c>
      <c r="K355" s="6" t="s">
        <v>7064</v>
      </c>
      <c r="L355" s="6" t="s">
        <v>7065</v>
      </c>
      <c r="M355" s="1" t="s">
        <v>7066</v>
      </c>
      <c r="O355" s="5">
        <v>43447.0</v>
      </c>
      <c r="P355" s="5">
        <v>43447.0</v>
      </c>
      <c r="R355" s="1" t="b">
        <v>0</v>
      </c>
      <c r="U355" s="1" t="b">
        <v>1</v>
      </c>
      <c r="V355" s="1" t="s">
        <v>5644</v>
      </c>
      <c r="W355" s="1" t="s">
        <v>7067</v>
      </c>
      <c r="X355" s="1">
        <v>200.0</v>
      </c>
      <c r="Y355" s="1" t="s">
        <v>5075</v>
      </c>
      <c r="AG355" s="5">
        <v>43452.0</v>
      </c>
    </row>
    <row r="356">
      <c r="A356" s="1">
        <v>190905.0</v>
      </c>
      <c r="B356" s="1">
        <v>0.0</v>
      </c>
      <c r="C356" s="1" t="s">
        <v>7068</v>
      </c>
      <c r="D356" s="1" t="s">
        <v>5068</v>
      </c>
      <c r="E356" s="5">
        <v>44182.0</v>
      </c>
      <c r="F356" s="1" t="s">
        <v>7069</v>
      </c>
      <c r="G356" s="1" t="s">
        <v>26</v>
      </c>
      <c r="H356" s="1" t="s">
        <v>5070</v>
      </c>
      <c r="I356" s="1" t="s">
        <v>18</v>
      </c>
      <c r="J356" s="1" t="s">
        <v>21</v>
      </c>
      <c r="K356" s="6" t="s">
        <v>7070</v>
      </c>
      <c r="L356" s="6" t="s">
        <v>7071</v>
      </c>
      <c r="M356" s="1" t="s">
        <v>7072</v>
      </c>
      <c r="O356" s="5">
        <v>43447.0</v>
      </c>
      <c r="P356" s="5">
        <v>43447.0</v>
      </c>
      <c r="R356" s="1" t="b">
        <v>0</v>
      </c>
      <c r="U356" s="1" t="b">
        <v>1</v>
      </c>
      <c r="V356" s="1" t="s">
        <v>5644</v>
      </c>
      <c r="W356" s="1" t="s">
        <v>7073</v>
      </c>
      <c r="X356" s="1">
        <v>200.0</v>
      </c>
      <c r="Y356" s="1" t="s">
        <v>5142</v>
      </c>
      <c r="AC356" s="1" t="s">
        <v>5077</v>
      </c>
      <c r="AD356" s="1" t="s">
        <v>5093</v>
      </c>
      <c r="AG356" s="5">
        <v>43452.0</v>
      </c>
      <c r="AH356" s="1">
        <v>285647.0</v>
      </c>
    </row>
    <row r="357">
      <c r="A357" s="1">
        <v>190910.0</v>
      </c>
      <c r="B357" s="1">
        <v>0.0</v>
      </c>
      <c r="C357" s="1" t="s">
        <v>7074</v>
      </c>
      <c r="D357" s="1" t="s">
        <v>5068</v>
      </c>
      <c r="E357" s="5">
        <v>44149.0</v>
      </c>
      <c r="F357" s="1" t="s">
        <v>7075</v>
      </c>
      <c r="G357" s="1" t="s">
        <v>5115</v>
      </c>
      <c r="H357" s="1" t="s">
        <v>5102</v>
      </c>
      <c r="I357" s="1" t="s">
        <v>18</v>
      </c>
      <c r="J357" s="1" t="s">
        <v>21</v>
      </c>
      <c r="K357" s="6" t="s">
        <v>7076</v>
      </c>
      <c r="L357" s="6" t="s">
        <v>7077</v>
      </c>
      <c r="M357" s="1" t="s">
        <v>7078</v>
      </c>
      <c r="O357" s="5">
        <v>43437.0</v>
      </c>
      <c r="P357" s="5">
        <v>43437.0</v>
      </c>
      <c r="R357" s="1" t="b">
        <v>0</v>
      </c>
      <c r="T357" s="1">
        <v>3711.0</v>
      </c>
      <c r="U357" s="1" t="b">
        <v>1</v>
      </c>
      <c r="V357" s="1" t="s">
        <v>6004</v>
      </c>
      <c r="W357" s="1" t="s">
        <v>7079</v>
      </c>
      <c r="X357" s="1">
        <v>200.0</v>
      </c>
      <c r="Y357" s="1" t="s">
        <v>5075</v>
      </c>
      <c r="Z357" s="1" t="s">
        <v>752</v>
      </c>
      <c r="AB357" s="1" t="s">
        <v>764</v>
      </c>
      <c r="AG357" s="5">
        <v>43452.0</v>
      </c>
    </row>
    <row r="358">
      <c r="A358" s="1">
        <v>191157.0</v>
      </c>
      <c r="B358" s="1">
        <v>0.0</v>
      </c>
      <c r="C358" s="1" t="s">
        <v>7080</v>
      </c>
      <c r="D358" s="1" t="s">
        <v>5068</v>
      </c>
      <c r="F358" s="1" t="s">
        <v>7081</v>
      </c>
      <c r="G358" s="1" t="s">
        <v>5122</v>
      </c>
      <c r="H358" s="1" t="s">
        <v>5102</v>
      </c>
      <c r="I358" s="1" t="s">
        <v>18</v>
      </c>
      <c r="J358" s="1" t="s">
        <v>53</v>
      </c>
      <c r="K358" s="6" t="s">
        <v>7082</v>
      </c>
      <c r="L358" s="6" t="s">
        <v>7083</v>
      </c>
      <c r="M358" s="1" t="s">
        <v>7084</v>
      </c>
      <c r="O358" s="5">
        <v>38353.0</v>
      </c>
      <c r="P358" s="5">
        <v>38911.0</v>
      </c>
      <c r="R358" s="1" t="b">
        <v>0</v>
      </c>
      <c r="U358" s="1" t="b">
        <v>0</v>
      </c>
      <c r="V358" s="1" t="s">
        <v>6167</v>
      </c>
      <c r="W358" s="1" t="s">
        <v>7085</v>
      </c>
      <c r="X358" s="1">
        <v>200.0</v>
      </c>
      <c r="Y358" s="1" t="s">
        <v>5075</v>
      </c>
      <c r="AG358" s="5">
        <v>43454.0</v>
      </c>
    </row>
    <row r="359">
      <c r="A359" s="1">
        <v>191227.0</v>
      </c>
      <c r="B359" s="1">
        <v>0.0</v>
      </c>
      <c r="C359" s="1" t="s">
        <v>7086</v>
      </c>
      <c r="D359" s="1" t="s">
        <v>5068</v>
      </c>
      <c r="F359" s="1" t="s">
        <v>7087</v>
      </c>
      <c r="G359" s="1" t="s">
        <v>5122</v>
      </c>
      <c r="H359" s="1" t="s">
        <v>5102</v>
      </c>
      <c r="I359" s="1" t="s">
        <v>18</v>
      </c>
      <c r="J359" s="1" t="s">
        <v>53</v>
      </c>
      <c r="K359" s="6" t="s">
        <v>7088</v>
      </c>
      <c r="L359" s="6" t="s">
        <v>7089</v>
      </c>
      <c r="M359" s="1" t="s">
        <v>7090</v>
      </c>
      <c r="O359" s="5">
        <v>40095.0</v>
      </c>
      <c r="P359" s="5">
        <v>40087.0</v>
      </c>
      <c r="R359" s="1" t="b">
        <v>0</v>
      </c>
      <c r="T359" s="1">
        <v>191157.0</v>
      </c>
      <c r="U359" s="1" t="b">
        <v>0</v>
      </c>
      <c r="V359" s="1" t="s">
        <v>7091</v>
      </c>
      <c r="W359" s="1" t="s">
        <v>7092</v>
      </c>
      <c r="X359" s="1">
        <v>200.0</v>
      </c>
      <c r="Y359" s="1" t="s">
        <v>5075</v>
      </c>
      <c r="Z359" s="1" t="s">
        <v>7081</v>
      </c>
      <c r="AG359" s="5">
        <v>43454.0</v>
      </c>
    </row>
    <row r="360">
      <c r="A360" s="1">
        <v>191270.0</v>
      </c>
      <c r="B360" s="1">
        <v>0.0</v>
      </c>
      <c r="C360" s="1" t="s">
        <v>7093</v>
      </c>
      <c r="D360" s="1" t="s">
        <v>5068</v>
      </c>
      <c r="F360" s="1" t="s">
        <v>7094</v>
      </c>
      <c r="G360" s="1" t="s">
        <v>26</v>
      </c>
      <c r="H360" s="1" t="s">
        <v>5102</v>
      </c>
      <c r="I360" s="1" t="s">
        <v>52</v>
      </c>
      <c r="J360" s="1" t="s">
        <v>24</v>
      </c>
      <c r="K360" s="1" t="s">
        <v>5072</v>
      </c>
      <c r="L360" s="6" t="s">
        <v>7095</v>
      </c>
      <c r="M360" s="1" t="s">
        <v>5125</v>
      </c>
      <c r="O360" s="5">
        <v>43452.0</v>
      </c>
      <c r="P360" s="5">
        <v>43831.0</v>
      </c>
      <c r="R360" s="1" t="b">
        <v>1</v>
      </c>
      <c r="U360" s="1" t="b">
        <v>0</v>
      </c>
      <c r="V360" s="1" t="s">
        <v>6982</v>
      </c>
      <c r="AB360" s="1" t="s">
        <v>5502</v>
      </c>
      <c r="AG360" s="5">
        <v>43455.0</v>
      </c>
    </row>
    <row r="361">
      <c r="A361" s="1">
        <v>191363.0</v>
      </c>
      <c r="B361" s="1">
        <v>0.0</v>
      </c>
      <c r="C361" s="1" t="s">
        <v>7096</v>
      </c>
      <c r="D361" s="1" t="s">
        <v>5068</v>
      </c>
      <c r="F361" s="1" t="s">
        <v>7097</v>
      </c>
      <c r="G361" s="1" t="s">
        <v>26</v>
      </c>
      <c r="H361" s="1" t="s">
        <v>5116</v>
      </c>
      <c r="I361" s="1" t="s">
        <v>18</v>
      </c>
      <c r="J361" s="1" t="s">
        <v>5071</v>
      </c>
      <c r="K361" s="1" t="s">
        <v>5072</v>
      </c>
      <c r="L361" s="6" t="s">
        <v>7098</v>
      </c>
      <c r="M361" s="1" t="s">
        <v>5125</v>
      </c>
      <c r="R361" s="1" t="b">
        <v>0</v>
      </c>
      <c r="U361" s="1" t="b">
        <v>0</v>
      </c>
      <c r="V361" s="1" t="s">
        <v>7099</v>
      </c>
      <c r="Y361" s="1" t="s">
        <v>5075</v>
      </c>
      <c r="AG361" s="5">
        <v>43455.0</v>
      </c>
    </row>
    <row r="362">
      <c r="A362" s="1">
        <v>191364.0</v>
      </c>
      <c r="B362" s="1">
        <v>0.0</v>
      </c>
      <c r="C362" s="1" t="s">
        <v>7100</v>
      </c>
      <c r="D362" s="1" t="s">
        <v>5081</v>
      </c>
      <c r="F362" s="1" t="s">
        <v>7101</v>
      </c>
      <c r="G362" s="1" t="s">
        <v>26</v>
      </c>
      <c r="H362" s="1" t="s">
        <v>5116</v>
      </c>
      <c r="I362" s="1" t="s">
        <v>18</v>
      </c>
      <c r="J362" s="1" t="s">
        <v>5071</v>
      </c>
      <c r="K362" s="1" t="s">
        <v>5072</v>
      </c>
      <c r="L362" s="6" t="s">
        <v>7098</v>
      </c>
      <c r="M362" s="1" t="s">
        <v>5125</v>
      </c>
      <c r="R362" s="1" t="b">
        <v>0</v>
      </c>
      <c r="U362" s="1" t="b">
        <v>0</v>
      </c>
      <c r="V362" s="1" t="s">
        <v>7099</v>
      </c>
      <c r="AA362" s="1" t="s">
        <v>7097</v>
      </c>
      <c r="AG362" s="5">
        <v>43455.0</v>
      </c>
    </row>
    <row r="363">
      <c r="A363" s="1">
        <v>191369.0</v>
      </c>
      <c r="B363" s="1">
        <v>0.0</v>
      </c>
      <c r="C363" s="1" t="s">
        <v>7102</v>
      </c>
      <c r="D363" s="1" t="s">
        <v>5068</v>
      </c>
      <c r="F363" s="1" t="s">
        <v>7103</v>
      </c>
      <c r="G363" s="1" t="s">
        <v>26</v>
      </c>
      <c r="H363" s="1" t="s">
        <v>5419</v>
      </c>
      <c r="I363" s="1" t="s">
        <v>18</v>
      </c>
      <c r="J363" s="1" t="s">
        <v>21</v>
      </c>
      <c r="K363" s="6" t="s">
        <v>7104</v>
      </c>
      <c r="L363" s="6" t="s">
        <v>7105</v>
      </c>
      <c r="M363" s="1" t="s">
        <v>5125</v>
      </c>
      <c r="O363" s="5">
        <v>36677.0</v>
      </c>
      <c r="R363" s="1" t="b">
        <v>0</v>
      </c>
      <c r="U363" s="1" t="b">
        <v>0</v>
      </c>
      <c r="V363" s="1" t="s">
        <v>5392</v>
      </c>
      <c r="W363" s="1" t="s">
        <v>7106</v>
      </c>
      <c r="X363" s="1">
        <v>200.0</v>
      </c>
      <c r="Y363" s="1" t="s">
        <v>5142</v>
      </c>
      <c r="AC363" s="1" t="s">
        <v>5077</v>
      </c>
      <c r="AD363" s="1" t="s">
        <v>5093</v>
      </c>
      <c r="AG363" s="5">
        <v>43455.0</v>
      </c>
      <c r="AH363" s="1">
        <v>159599.0</v>
      </c>
    </row>
    <row r="364">
      <c r="A364" s="1">
        <v>191384.0</v>
      </c>
      <c r="B364" s="1">
        <v>0.0</v>
      </c>
      <c r="C364" s="1" t="s">
        <v>7107</v>
      </c>
      <c r="D364" s="1" t="s">
        <v>5068</v>
      </c>
      <c r="F364" s="1" t="s">
        <v>7108</v>
      </c>
      <c r="G364" s="1" t="s">
        <v>26</v>
      </c>
      <c r="H364" s="1" t="s">
        <v>5070</v>
      </c>
      <c r="I364" s="1" t="s">
        <v>18</v>
      </c>
      <c r="J364" s="1" t="s">
        <v>70</v>
      </c>
      <c r="K364" s="6" t="s">
        <v>7109</v>
      </c>
      <c r="L364" s="6" t="s">
        <v>7110</v>
      </c>
      <c r="M364" s="1" t="s">
        <v>5125</v>
      </c>
      <c r="R364" s="1" t="b">
        <v>0</v>
      </c>
      <c r="T364" s="1">
        <v>535.0</v>
      </c>
      <c r="U364" s="1" t="b">
        <v>0</v>
      </c>
      <c r="V364" s="1" t="s">
        <v>5663</v>
      </c>
      <c r="W364" s="1" t="s">
        <v>7111</v>
      </c>
      <c r="X364" s="1">
        <v>200.0</v>
      </c>
      <c r="Y364" s="1" t="s">
        <v>5075</v>
      </c>
      <c r="Z364" s="1" t="s">
        <v>4022</v>
      </c>
      <c r="AG364" s="5">
        <v>43455.0</v>
      </c>
    </row>
    <row r="365">
      <c r="A365" s="1">
        <v>193685.0</v>
      </c>
      <c r="B365" s="1">
        <v>0.0</v>
      </c>
      <c r="C365" s="1" t="s">
        <v>380</v>
      </c>
      <c r="D365" s="1" t="s">
        <v>5068</v>
      </c>
      <c r="F365" s="1" t="s">
        <v>7112</v>
      </c>
      <c r="G365" s="1" t="s">
        <v>26</v>
      </c>
      <c r="H365" s="1" t="s">
        <v>5102</v>
      </c>
      <c r="I365" s="1" t="s">
        <v>52</v>
      </c>
      <c r="J365" s="1" t="s">
        <v>21</v>
      </c>
      <c r="K365" s="6" t="s">
        <v>7113</v>
      </c>
      <c r="L365" s="6" t="s">
        <v>7114</v>
      </c>
      <c r="M365" s="1" t="s">
        <v>5125</v>
      </c>
      <c r="O365" s="5">
        <v>43465.0</v>
      </c>
      <c r="P365" s="5">
        <v>43440.0</v>
      </c>
      <c r="R365" s="1" t="b">
        <v>1</v>
      </c>
      <c r="U365" s="1" t="b">
        <v>0</v>
      </c>
      <c r="V365" s="1" t="s">
        <v>7115</v>
      </c>
      <c r="W365" s="1" t="s">
        <v>7116</v>
      </c>
      <c r="X365" s="1">
        <v>200.0</v>
      </c>
      <c r="AB365" s="1" t="s">
        <v>117</v>
      </c>
      <c r="AG365" s="5">
        <v>43473.0</v>
      </c>
    </row>
    <row r="366">
      <c r="A366" s="1">
        <v>193692.0</v>
      </c>
      <c r="B366" s="1">
        <v>0.0</v>
      </c>
      <c r="C366" s="1" t="s">
        <v>766</v>
      </c>
      <c r="D366" s="1" t="s">
        <v>5068</v>
      </c>
      <c r="F366" s="1" t="s">
        <v>7117</v>
      </c>
      <c r="G366" s="1" t="s">
        <v>26</v>
      </c>
      <c r="H366" s="1" t="s">
        <v>5102</v>
      </c>
      <c r="I366" s="1" t="s">
        <v>52</v>
      </c>
      <c r="J366" s="1" t="s">
        <v>21</v>
      </c>
      <c r="K366" s="6" t="s">
        <v>7118</v>
      </c>
      <c r="L366" s="6" t="s">
        <v>7114</v>
      </c>
      <c r="M366" s="1" t="s">
        <v>5125</v>
      </c>
      <c r="O366" s="5">
        <v>43465.0</v>
      </c>
      <c r="P366" s="5">
        <v>43466.0</v>
      </c>
      <c r="R366" s="1" t="b">
        <v>1</v>
      </c>
      <c r="U366" s="1" t="b">
        <v>0</v>
      </c>
      <c r="V366" s="1" t="s">
        <v>7115</v>
      </c>
      <c r="W366" s="1" t="s">
        <v>7116</v>
      </c>
      <c r="X366" s="1">
        <v>200.0</v>
      </c>
      <c r="AB366" s="1" t="s">
        <v>764</v>
      </c>
      <c r="AG366" s="5">
        <v>43473.0</v>
      </c>
    </row>
    <row r="367">
      <c r="A367" s="1">
        <v>193693.0</v>
      </c>
      <c r="B367" s="1">
        <v>0.0</v>
      </c>
      <c r="C367" s="1" t="s">
        <v>473</v>
      </c>
      <c r="D367" s="1" t="s">
        <v>5068</v>
      </c>
      <c r="F367" s="1" t="s">
        <v>7119</v>
      </c>
      <c r="G367" s="1" t="s">
        <v>26</v>
      </c>
      <c r="H367" s="1" t="s">
        <v>5102</v>
      </c>
      <c r="I367" s="1" t="s">
        <v>52</v>
      </c>
      <c r="J367" s="1" t="s">
        <v>21</v>
      </c>
      <c r="K367" s="6" t="s">
        <v>7120</v>
      </c>
      <c r="L367" s="6" t="s">
        <v>7114</v>
      </c>
      <c r="M367" s="1" t="s">
        <v>5125</v>
      </c>
      <c r="O367" s="5">
        <v>43465.0</v>
      </c>
      <c r="P367" s="5">
        <v>43446.0</v>
      </c>
      <c r="R367" s="1" t="b">
        <v>1</v>
      </c>
      <c r="U367" s="1" t="b">
        <v>0</v>
      </c>
      <c r="V367" s="1" t="s">
        <v>7115</v>
      </c>
      <c r="W367" s="1" t="s">
        <v>7116</v>
      </c>
      <c r="X367" s="1">
        <v>200.0</v>
      </c>
      <c r="AB367" s="1" t="s">
        <v>112</v>
      </c>
      <c r="AG367" s="5">
        <v>43473.0</v>
      </c>
    </row>
    <row r="368">
      <c r="A368" s="1">
        <v>194716.0</v>
      </c>
      <c r="B368" s="1">
        <v>0.0</v>
      </c>
      <c r="C368" s="1" t="s">
        <v>7121</v>
      </c>
      <c r="D368" s="1" t="s">
        <v>5068</v>
      </c>
      <c r="F368" s="1" t="s">
        <v>7122</v>
      </c>
      <c r="G368" s="1" t="s">
        <v>26</v>
      </c>
      <c r="H368" s="1" t="s">
        <v>5419</v>
      </c>
      <c r="I368" s="1" t="s">
        <v>18</v>
      </c>
      <c r="J368" s="1" t="s">
        <v>21</v>
      </c>
      <c r="K368" s="6" t="s">
        <v>7123</v>
      </c>
      <c r="L368" s="6" t="s">
        <v>7124</v>
      </c>
      <c r="M368" s="1" t="s">
        <v>5125</v>
      </c>
      <c r="O368" s="5">
        <v>40826.0</v>
      </c>
      <c r="R368" s="1" t="b">
        <v>0</v>
      </c>
      <c r="T368" s="1">
        <v>609.0</v>
      </c>
      <c r="U368" s="1" t="b">
        <v>0</v>
      </c>
      <c r="V368" s="1" t="s">
        <v>7125</v>
      </c>
      <c r="W368" s="1" t="s">
        <v>7126</v>
      </c>
      <c r="X368" s="1">
        <v>200.0</v>
      </c>
      <c r="Y368" s="1" t="s">
        <v>5142</v>
      </c>
      <c r="Z368" s="1" t="s">
        <v>758</v>
      </c>
      <c r="AC368" s="1" t="s">
        <v>5077</v>
      </c>
      <c r="AD368" s="1" t="s">
        <v>5093</v>
      </c>
      <c r="AG368" s="5">
        <v>43479.0</v>
      </c>
      <c r="AH368" s="1">
        <v>79482.0</v>
      </c>
    </row>
    <row r="369">
      <c r="A369" s="1">
        <v>194717.0</v>
      </c>
      <c r="B369" s="1">
        <v>0.0</v>
      </c>
      <c r="C369" s="1" t="s">
        <v>199</v>
      </c>
      <c r="D369" s="1" t="s">
        <v>5068</v>
      </c>
      <c r="E369" s="5">
        <v>44853.0</v>
      </c>
      <c r="F369" s="1" t="s">
        <v>200</v>
      </c>
      <c r="G369" s="1" t="s">
        <v>26</v>
      </c>
      <c r="H369" s="1" t="s">
        <v>5419</v>
      </c>
      <c r="I369" s="1" t="s">
        <v>18</v>
      </c>
      <c r="J369" s="1" t="s">
        <v>21</v>
      </c>
      <c r="K369" s="6" t="s">
        <v>7127</v>
      </c>
      <c r="L369" s="6" t="s">
        <v>7128</v>
      </c>
      <c r="M369" s="1" t="s">
        <v>5125</v>
      </c>
      <c r="O369" s="5">
        <v>42465.0</v>
      </c>
      <c r="R369" s="1" t="b">
        <v>0</v>
      </c>
      <c r="T369" s="1">
        <v>609.0</v>
      </c>
      <c r="U369" s="1" t="b">
        <v>0</v>
      </c>
      <c r="V369" s="1" t="s">
        <v>5651</v>
      </c>
      <c r="W369" s="1" t="s">
        <v>7129</v>
      </c>
      <c r="X369" s="1">
        <v>200.0</v>
      </c>
      <c r="Y369" s="1" t="s">
        <v>5142</v>
      </c>
      <c r="Z369" s="1" t="s">
        <v>758</v>
      </c>
      <c r="AC369" s="1" t="s">
        <v>5077</v>
      </c>
      <c r="AD369" s="1" t="s">
        <v>5093</v>
      </c>
      <c r="AG369" s="5">
        <v>43479.0</v>
      </c>
      <c r="AH369" s="1">
        <v>366852.0</v>
      </c>
    </row>
    <row r="370">
      <c r="A370" s="1">
        <v>194718.0</v>
      </c>
      <c r="B370" s="1">
        <v>0.0</v>
      </c>
      <c r="C370" s="1" t="s">
        <v>7130</v>
      </c>
      <c r="D370" s="1" t="s">
        <v>5068</v>
      </c>
      <c r="E370" s="5">
        <v>44259.0</v>
      </c>
      <c r="F370" s="1" t="s">
        <v>7131</v>
      </c>
      <c r="G370" s="1" t="s">
        <v>26</v>
      </c>
      <c r="H370" s="1" t="s">
        <v>5419</v>
      </c>
      <c r="I370" s="1" t="s">
        <v>356</v>
      </c>
      <c r="J370" s="1" t="s">
        <v>21</v>
      </c>
      <c r="K370" s="6" t="s">
        <v>7132</v>
      </c>
      <c r="L370" s="6" t="s">
        <v>7133</v>
      </c>
      <c r="M370" s="1" t="s">
        <v>5125</v>
      </c>
      <c r="O370" s="5">
        <v>37622.0</v>
      </c>
      <c r="Q370" s="5">
        <v>44259.0</v>
      </c>
      <c r="R370" s="1" t="b">
        <v>0</v>
      </c>
      <c r="T370" s="1">
        <v>609.0</v>
      </c>
      <c r="U370" s="1" t="b">
        <v>0</v>
      </c>
      <c r="V370" s="1" t="s">
        <v>7134</v>
      </c>
      <c r="W370" s="1" t="s">
        <v>7135</v>
      </c>
      <c r="X370" s="1">
        <v>200.0</v>
      </c>
      <c r="Y370" s="1" t="s">
        <v>5142</v>
      </c>
      <c r="Z370" s="1" t="s">
        <v>758</v>
      </c>
      <c r="AC370" s="1" t="s">
        <v>5077</v>
      </c>
      <c r="AD370" s="1" t="s">
        <v>5093</v>
      </c>
      <c r="AG370" s="5">
        <v>43479.0</v>
      </c>
      <c r="AH370" s="1">
        <v>79509.0</v>
      </c>
    </row>
    <row r="371">
      <c r="A371" s="1">
        <v>194941.0</v>
      </c>
      <c r="B371" s="1">
        <v>0.0</v>
      </c>
      <c r="C371" s="1" t="s">
        <v>7136</v>
      </c>
      <c r="D371" s="1" t="s">
        <v>5068</v>
      </c>
      <c r="F371" s="1" t="s">
        <v>7137</v>
      </c>
      <c r="G371" s="1" t="s">
        <v>26</v>
      </c>
      <c r="H371" s="1" t="s">
        <v>5102</v>
      </c>
      <c r="I371" s="1" t="s">
        <v>52</v>
      </c>
      <c r="J371" s="1" t="s">
        <v>21</v>
      </c>
      <c r="K371" s="6" t="s">
        <v>7138</v>
      </c>
      <c r="L371" s="6" t="s">
        <v>7139</v>
      </c>
      <c r="M371" s="1" t="s">
        <v>5125</v>
      </c>
      <c r="O371" s="5">
        <v>43480.0</v>
      </c>
      <c r="P371" s="5">
        <v>43465.0</v>
      </c>
      <c r="R371" s="1" t="b">
        <v>1</v>
      </c>
      <c r="U371" s="1" t="b">
        <v>0</v>
      </c>
      <c r="V371" s="1" t="s">
        <v>7115</v>
      </c>
      <c r="W371" s="1" t="s">
        <v>7140</v>
      </c>
      <c r="X371" s="1">
        <v>200.0</v>
      </c>
      <c r="AB371" s="1" t="s">
        <v>7075</v>
      </c>
      <c r="AG371" s="5">
        <v>43481.0</v>
      </c>
    </row>
    <row r="372">
      <c r="A372" s="1">
        <v>194943.0</v>
      </c>
      <c r="B372" s="1">
        <v>0.0</v>
      </c>
      <c r="C372" s="1" t="s">
        <v>7141</v>
      </c>
      <c r="D372" s="1" t="s">
        <v>5068</v>
      </c>
      <c r="E372" s="5">
        <v>44099.0</v>
      </c>
      <c r="F372" s="1" t="s">
        <v>7142</v>
      </c>
      <c r="G372" s="1" t="s">
        <v>26</v>
      </c>
      <c r="H372" s="1" t="s">
        <v>5102</v>
      </c>
      <c r="I372" s="1" t="s">
        <v>18</v>
      </c>
      <c r="J372" s="1" t="s">
        <v>14</v>
      </c>
      <c r="K372" s="6" t="s">
        <v>7143</v>
      </c>
      <c r="L372" s="6" t="s">
        <v>7144</v>
      </c>
      <c r="M372" s="1" t="s">
        <v>7145</v>
      </c>
      <c r="O372" s="5">
        <v>43448.0</v>
      </c>
      <c r="P372" s="5">
        <v>43466.0</v>
      </c>
      <c r="R372" s="1" t="b">
        <v>0</v>
      </c>
      <c r="T372" s="1">
        <v>604.0</v>
      </c>
      <c r="U372" s="1" t="b">
        <v>1</v>
      </c>
      <c r="V372" s="1" t="s">
        <v>7146</v>
      </c>
      <c r="W372" s="1" t="s">
        <v>7147</v>
      </c>
      <c r="X372" s="1">
        <v>200.0</v>
      </c>
      <c r="Y372" s="1" t="s">
        <v>5075</v>
      </c>
      <c r="Z372" s="1" t="s">
        <v>5173</v>
      </c>
      <c r="AG372" s="5">
        <v>43481.0</v>
      </c>
    </row>
    <row r="373">
      <c r="A373" s="1">
        <v>195547.0</v>
      </c>
      <c r="B373" s="1">
        <v>0.0</v>
      </c>
      <c r="C373" s="1" t="s">
        <v>659</v>
      </c>
      <c r="D373" s="1" t="s">
        <v>5068</v>
      </c>
      <c r="E373" s="5">
        <v>44632.0</v>
      </c>
      <c r="F373" s="1" t="s">
        <v>660</v>
      </c>
      <c r="G373" s="1" t="s">
        <v>26</v>
      </c>
      <c r="H373" s="1" t="s">
        <v>5102</v>
      </c>
      <c r="I373" s="1" t="s">
        <v>18</v>
      </c>
      <c r="J373" s="1" t="s">
        <v>70</v>
      </c>
      <c r="K373" s="6" t="s">
        <v>7148</v>
      </c>
      <c r="L373" s="6" t="s">
        <v>7149</v>
      </c>
      <c r="M373" s="1" t="s">
        <v>7150</v>
      </c>
      <c r="O373" s="5">
        <v>43470.0</v>
      </c>
      <c r="P373" s="5">
        <v>43466.0</v>
      </c>
      <c r="Q373" s="5">
        <v>47119.0</v>
      </c>
      <c r="R373" s="1" t="b">
        <v>0</v>
      </c>
      <c r="T373" s="1">
        <v>31.0</v>
      </c>
      <c r="U373" s="1" t="b">
        <v>1</v>
      </c>
      <c r="V373" s="1" t="s">
        <v>7151</v>
      </c>
      <c r="W373" s="1" t="s">
        <v>7152</v>
      </c>
      <c r="X373" s="1">
        <v>200.0</v>
      </c>
      <c r="Y373" s="1" t="s">
        <v>5075</v>
      </c>
      <c r="Z373" s="1" t="s">
        <v>7029</v>
      </c>
      <c r="AG373" s="5">
        <v>43486.0</v>
      </c>
    </row>
    <row r="374">
      <c r="A374" s="1">
        <v>197182.0</v>
      </c>
      <c r="B374" s="1">
        <v>0.0</v>
      </c>
      <c r="C374" s="1" t="s">
        <v>7153</v>
      </c>
      <c r="D374" s="1" t="s">
        <v>5068</v>
      </c>
      <c r="F374" s="1" t="s">
        <v>7154</v>
      </c>
      <c r="G374" s="1" t="s">
        <v>26</v>
      </c>
      <c r="H374" s="1" t="s">
        <v>5070</v>
      </c>
      <c r="I374" s="1" t="s">
        <v>52</v>
      </c>
      <c r="J374" s="1" t="s">
        <v>21</v>
      </c>
      <c r="K374" s="6" t="s">
        <v>7155</v>
      </c>
      <c r="L374" s="6" t="s">
        <v>7156</v>
      </c>
      <c r="M374" s="1" t="s">
        <v>5125</v>
      </c>
      <c r="R374" s="1" t="b">
        <v>0</v>
      </c>
      <c r="U374" s="1" t="b">
        <v>0</v>
      </c>
      <c r="V374" s="1" t="s">
        <v>5688</v>
      </c>
      <c r="W374" s="1" t="s">
        <v>7157</v>
      </c>
      <c r="X374" s="1">
        <v>200.0</v>
      </c>
      <c r="Y374" s="1" t="s">
        <v>5075</v>
      </c>
      <c r="AG374" s="5">
        <v>43500.0</v>
      </c>
    </row>
    <row r="375">
      <c r="A375" s="1">
        <v>197183.0</v>
      </c>
      <c r="B375" s="1">
        <v>0.0</v>
      </c>
      <c r="C375" s="1" t="s">
        <v>7158</v>
      </c>
      <c r="D375" s="1" t="s">
        <v>5068</v>
      </c>
      <c r="F375" s="1" t="s">
        <v>7159</v>
      </c>
      <c r="G375" s="1" t="s">
        <v>26</v>
      </c>
      <c r="H375" s="1" t="s">
        <v>5419</v>
      </c>
      <c r="I375" s="1" t="s">
        <v>18</v>
      </c>
      <c r="J375" s="1" t="s">
        <v>21</v>
      </c>
      <c r="K375" s="6" t="s">
        <v>7160</v>
      </c>
      <c r="L375" s="6" t="s">
        <v>7161</v>
      </c>
      <c r="M375" s="1" t="s">
        <v>5125</v>
      </c>
      <c r="R375" s="1" t="b">
        <v>0</v>
      </c>
      <c r="U375" s="1" t="b">
        <v>0</v>
      </c>
      <c r="V375" s="1" t="s">
        <v>5306</v>
      </c>
      <c r="W375" s="1" t="s">
        <v>7162</v>
      </c>
      <c r="X375" s="1">
        <v>200.0</v>
      </c>
      <c r="Y375" s="1" t="s">
        <v>5075</v>
      </c>
      <c r="AG375" s="5">
        <v>43500.0</v>
      </c>
    </row>
    <row r="376">
      <c r="A376" s="1">
        <v>197184.0</v>
      </c>
      <c r="B376" s="1">
        <v>0.0</v>
      </c>
      <c r="C376" s="1" t="s">
        <v>584</v>
      </c>
      <c r="D376" s="1" t="s">
        <v>5068</v>
      </c>
      <c r="E376" s="5">
        <v>44648.0</v>
      </c>
      <c r="F376" s="1" t="s">
        <v>585</v>
      </c>
      <c r="G376" s="1" t="s">
        <v>26</v>
      </c>
      <c r="H376" s="1" t="s">
        <v>5419</v>
      </c>
      <c r="I376" s="1" t="s">
        <v>356</v>
      </c>
      <c r="J376" s="1" t="s">
        <v>21</v>
      </c>
      <c r="K376" s="6" t="s">
        <v>7163</v>
      </c>
      <c r="L376" s="6" t="s">
        <v>7164</v>
      </c>
      <c r="M376" s="1" t="s">
        <v>5125</v>
      </c>
      <c r="O376" s="5">
        <v>36526.0</v>
      </c>
      <c r="Q376" s="5">
        <v>44648.0</v>
      </c>
      <c r="R376" s="1" t="b">
        <v>0</v>
      </c>
      <c r="U376" s="1" t="b">
        <v>0</v>
      </c>
      <c r="V376" s="1" t="s">
        <v>7165</v>
      </c>
      <c r="W376" s="1" t="s">
        <v>7166</v>
      </c>
      <c r="X376" s="1">
        <v>200.0</v>
      </c>
      <c r="Y376" s="1" t="s">
        <v>5142</v>
      </c>
      <c r="AC376" s="1" t="s">
        <v>5077</v>
      </c>
      <c r="AD376" s="1" t="s">
        <v>5093</v>
      </c>
      <c r="AG376" s="5">
        <v>43500.0</v>
      </c>
      <c r="AH376" s="1">
        <v>159463.0</v>
      </c>
    </row>
    <row r="377">
      <c r="A377" s="1">
        <v>197185.0</v>
      </c>
      <c r="B377" s="1">
        <v>0.0</v>
      </c>
      <c r="C377" s="1" t="s">
        <v>589</v>
      </c>
      <c r="D377" s="1" t="s">
        <v>5068</v>
      </c>
      <c r="E377" s="5">
        <v>44648.0</v>
      </c>
      <c r="F377" s="1" t="s">
        <v>590</v>
      </c>
      <c r="G377" s="1" t="s">
        <v>26</v>
      </c>
      <c r="H377" s="1" t="s">
        <v>5419</v>
      </c>
      <c r="I377" s="1" t="s">
        <v>356</v>
      </c>
      <c r="J377" s="1" t="s">
        <v>21</v>
      </c>
      <c r="K377" s="6" t="s">
        <v>7167</v>
      </c>
      <c r="L377" s="6" t="s">
        <v>7168</v>
      </c>
      <c r="M377" s="1" t="s">
        <v>5125</v>
      </c>
      <c r="O377" s="5">
        <v>36272.0</v>
      </c>
      <c r="Q377" s="5">
        <v>44648.0</v>
      </c>
      <c r="R377" s="1" t="b">
        <v>0</v>
      </c>
      <c r="U377" s="1" t="b">
        <v>0</v>
      </c>
      <c r="V377" s="1" t="s">
        <v>6596</v>
      </c>
      <c r="X377" s="1">
        <v>200.0</v>
      </c>
      <c r="Y377" s="1" t="s">
        <v>5075</v>
      </c>
      <c r="AG377" s="5">
        <v>43500.0</v>
      </c>
    </row>
    <row r="378">
      <c r="A378" s="1">
        <v>197186.0</v>
      </c>
      <c r="B378" s="1">
        <v>0.0</v>
      </c>
      <c r="C378" s="1" t="s">
        <v>7169</v>
      </c>
      <c r="D378" s="1" t="s">
        <v>5068</v>
      </c>
      <c r="F378" s="1" t="s">
        <v>7170</v>
      </c>
      <c r="G378" s="1" t="s">
        <v>26</v>
      </c>
      <c r="H378" s="1" t="s">
        <v>5419</v>
      </c>
      <c r="I378" s="1" t="s">
        <v>18</v>
      </c>
      <c r="J378" s="1" t="s">
        <v>21</v>
      </c>
      <c r="K378" s="6" t="s">
        <v>7171</v>
      </c>
      <c r="L378" s="6" t="s">
        <v>7172</v>
      </c>
      <c r="M378" s="1" t="s">
        <v>5125</v>
      </c>
      <c r="O378" s="5">
        <v>36892.0</v>
      </c>
      <c r="R378" s="1" t="b">
        <v>0</v>
      </c>
      <c r="U378" s="1" t="b">
        <v>0</v>
      </c>
      <c r="V378" s="1" t="s">
        <v>5688</v>
      </c>
      <c r="W378" s="1" t="s">
        <v>7173</v>
      </c>
      <c r="X378" s="1">
        <v>200.0</v>
      </c>
      <c r="Y378" s="1" t="s">
        <v>5075</v>
      </c>
      <c r="AG378" s="5">
        <v>43500.0</v>
      </c>
    </row>
    <row r="379">
      <c r="A379" s="1">
        <v>197227.0</v>
      </c>
      <c r="B379" s="1">
        <v>0.0</v>
      </c>
      <c r="C379" s="1" t="s">
        <v>7174</v>
      </c>
      <c r="D379" s="1" t="s">
        <v>5068</v>
      </c>
      <c r="E379" s="5">
        <v>43826.0</v>
      </c>
      <c r="F379" s="1" t="s">
        <v>7175</v>
      </c>
      <c r="G379" s="1" t="s">
        <v>26</v>
      </c>
      <c r="H379" s="1" t="s">
        <v>5419</v>
      </c>
      <c r="I379" s="1" t="s">
        <v>356</v>
      </c>
      <c r="J379" s="1" t="s">
        <v>14</v>
      </c>
      <c r="K379" s="6" t="s">
        <v>7176</v>
      </c>
      <c r="L379" s="6" t="s">
        <v>7177</v>
      </c>
      <c r="M379" s="1" t="s">
        <v>5125</v>
      </c>
      <c r="Q379" s="5">
        <v>43826.0</v>
      </c>
      <c r="R379" s="1" t="b">
        <v>0</v>
      </c>
      <c r="T379" s="1">
        <v>604.0</v>
      </c>
      <c r="U379" s="1" t="b">
        <v>0</v>
      </c>
      <c r="V379" s="1" t="s">
        <v>6125</v>
      </c>
      <c r="Y379" s="1" t="s">
        <v>5075</v>
      </c>
      <c r="Z379" s="1" t="s">
        <v>5173</v>
      </c>
      <c r="AG379" s="5">
        <v>43500.0</v>
      </c>
    </row>
    <row r="380">
      <c r="A380" s="1">
        <v>197228.0</v>
      </c>
      <c r="B380" s="1">
        <v>0.0</v>
      </c>
      <c r="C380" s="1" t="s">
        <v>176</v>
      </c>
      <c r="D380" s="1" t="s">
        <v>5068</v>
      </c>
      <c r="E380" s="5">
        <v>44713.0</v>
      </c>
      <c r="F380" s="1" t="s">
        <v>177</v>
      </c>
      <c r="G380" s="1" t="s">
        <v>26</v>
      </c>
      <c r="H380" s="1" t="s">
        <v>5419</v>
      </c>
      <c r="I380" s="1" t="s">
        <v>18</v>
      </c>
      <c r="J380" s="1" t="s">
        <v>14</v>
      </c>
      <c r="K380" s="6" t="s">
        <v>7178</v>
      </c>
      <c r="L380" s="6" t="s">
        <v>7179</v>
      </c>
      <c r="M380" s="1" t="s">
        <v>5125</v>
      </c>
      <c r="R380" s="1" t="b">
        <v>0</v>
      </c>
      <c r="T380" s="1">
        <v>604.0</v>
      </c>
      <c r="U380" s="1" t="b">
        <v>0</v>
      </c>
      <c r="V380" s="1" t="s">
        <v>5153</v>
      </c>
      <c r="W380" s="1" t="s">
        <v>7180</v>
      </c>
      <c r="X380" s="1">
        <v>200.0</v>
      </c>
      <c r="Y380" s="1" t="s">
        <v>5075</v>
      </c>
      <c r="Z380" s="1" t="s">
        <v>5173</v>
      </c>
      <c r="AC380" s="1" t="s">
        <v>5077</v>
      </c>
      <c r="AD380" s="1" t="s">
        <v>5093</v>
      </c>
      <c r="AG380" s="5">
        <v>43500.0</v>
      </c>
      <c r="AH380" s="1">
        <v>367142.0</v>
      </c>
    </row>
    <row r="381">
      <c r="A381" s="1">
        <v>197915.0</v>
      </c>
      <c r="B381" s="1">
        <v>1.0</v>
      </c>
      <c r="C381" s="1" t="s">
        <v>439</v>
      </c>
      <c r="D381" s="1" t="s">
        <v>5068</v>
      </c>
      <c r="E381" s="5">
        <v>44720.0</v>
      </c>
      <c r="F381" s="1" t="s">
        <v>440</v>
      </c>
      <c r="G381" s="1" t="s">
        <v>26</v>
      </c>
      <c r="H381" s="1" t="s">
        <v>5102</v>
      </c>
      <c r="I381" s="1" t="s">
        <v>18</v>
      </c>
      <c r="J381" s="1" t="s">
        <v>5071</v>
      </c>
      <c r="K381" s="6" t="s">
        <v>7181</v>
      </c>
      <c r="L381" s="6" t="s">
        <v>7182</v>
      </c>
      <c r="M381" s="1" t="s">
        <v>5125</v>
      </c>
      <c r="O381" s="5">
        <v>32143.0</v>
      </c>
      <c r="R381" s="1" t="b">
        <v>0</v>
      </c>
      <c r="U381" s="1" t="b">
        <v>0</v>
      </c>
      <c r="V381" s="1" t="s">
        <v>5153</v>
      </c>
      <c r="W381" s="1" t="s">
        <v>7183</v>
      </c>
      <c r="X381" s="1">
        <v>200.0</v>
      </c>
      <c r="AC381" s="1" t="s">
        <v>5077</v>
      </c>
      <c r="AD381" s="1" t="s">
        <v>5093</v>
      </c>
      <c r="AE381" s="6" t="s">
        <v>7184</v>
      </c>
      <c r="AG381" s="5">
        <v>43508.0</v>
      </c>
      <c r="AH381" s="1">
        <v>358206.0</v>
      </c>
    </row>
    <row r="382">
      <c r="A382" s="1">
        <v>197916.0</v>
      </c>
      <c r="B382" s="1">
        <v>1.0</v>
      </c>
      <c r="C382" s="1" t="s">
        <v>7185</v>
      </c>
      <c r="D382" s="1" t="s">
        <v>5081</v>
      </c>
      <c r="E382" s="5">
        <v>44720.0</v>
      </c>
      <c r="F382" s="1" t="s">
        <v>7186</v>
      </c>
      <c r="G382" s="1" t="s">
        <v>26</v>
      </c>
      <c r="H382" s="1" t="s">
        <v>5102</v>
      </c>
      <c r="I382" s="1" t="s">
        <v>18</v>
      </c>
      <c r="J382" s="1" t="s">
        <v>5071</v>
      </c>
      <c r="K382" s="6" t="s">
        <v>7187</v>
      </c>
      <c r="L382" s="6" t="s">
        <v>7188</v>
      </c>
      <c r="M382" s="1" t="s">
        <v>5125</v>
      </c>
      <c r="O382" s="5">
        <v>32143.0</v>
      </c>
      <c r="R382" s="1" t="b">
        <v>0</v>
      </c>
      <c r="U382" s="1" t="b">
        <v>0</v>
      </c>
      <c r="V382" s="1" t="s">
        <v>5153</v>
      </c>
      <c r="W382" s="1" t="s">
        <v>7183</v>
      </c>
      <c r="X382" s="1">
        <v>200.0</v>
      </c>
      <c r="AA382" s="1" t="s">
        <v>440</v>
      </c>
      <c r="AG382" s="5">
        <v>43508.0</v>
      </c>
    </row>
    <row r="383">
      <c r="A383" s="1">
        <v>197924.0</v>
      </c>
      <c r="B383" s="1">
        <v>0.0</v>
      </c>
      <c r="C383" s="1" t="s">
        <v>7189</v>
      </c>
      <c r="D383" s="1" t="s">
        <v>5068</v>
      </c>
      <c r="F383" s="1" t="s">
        <v>7190</v>
      </c>
      <c r="G383" s="1" t="s">
        <v>26</v>
      </c>
      <c r="H383" s="1" t="s">
        <v>5419</v>
      </c>
      <c r="I383" s="1" t="s">
        <v>18</v>
      </c>
      <c r="J383" s="1" t="s">
        <v>21</v>
      </c>
      <c r="K383" s="6" t="s">
        <v>7191</v>
      </c>
      <c r="L383" s="6" t="s">
        <v>7192</v>
      </c>
      <c r="M383" s="1" t="s">
        <v>5125</v>
      </c>
      <c r="O383" s="5">
        <v>28491.0</v>
      </c>
      <c r="R383" s="1" t="b">
        <v>0</v>
      </c>
      <c r="U383" s="1" t="b">
        <v>0</v>
      </c>
      <c r="V383" s="1" t="s">
        <v>5464</v>
      </c>
      <c r="W383" s="1" t="s">
        <v>7193</v>
      </c>
      <c r="X383" s="1">
        <v>200.0</v>
      </c>
      <c r="Y383" s="1" t="s">
        <v>5075</v>
      </c>
      <c r="AG383" s="5">
        <v>43508.0</v>
      </c>
    </row>
    <row r="384">
      <c r="A384" s="1">
        <v>197925.0</v>
      </c>
      <c r="B384" s="1">
        <v>0.0</v>
      </c>
      <c r="C384" s="1" t="s">
        <v>7194</v>
      </c>
      <c r="D384" s="1" t="s">
        <v>5068</v>
      </c>
      <c r="F384" s="1" t="s">
        <v>7195</v>
      </c>
      <c r="G384" s="1" t="s">
        <v>26</v>
      </c>
      <c r="H384" s="1" t="s">
        <v>5419</v>
      </c>
      <c r="I384" s="1" t="s">
        <v>18</v>
      </c>
      <c r="J384" s="1" t="s">
        <v>21</v>
      </c>
      <c r="K384" s="6" t="s">
        <v>7196</v>
      </c>
      <c r="L384" s="6" t="s">
        <v>7197</v>
      </c>
      <c r="M384" s="1" t="s">
        <v>5125</v>
      </c>
      <c r="O384" s="5">
        <v>38617.0</v>
      </c>
      <c r="R384" s="1" t="b">
        <v>0</v>
      </c>
      <c r="U384" s="1" t="b">
        <v>0</v>
      </c>
      <c r="V384" s="1" t="s">
        <v>6988</v>
      </c>
      <c r="W384" s="1" t="s">
        <v>7198</v>
      </c>
      <c r="X384" s="1">
        <v>200.0</v>
      </c>
      <c r="Y384" s="1" t="s">
        <v>5075</v>
      </c>
      <c r="AG384" s="5">
        <v>43508.0</v>
      </c>
    </row>
    <row r="385">
      <c r="A385" s="1">
        <v>197926.0</v>
      </c>
      <c r="B385" s="1">
        <v>0.0</v>
      </c>
      <c r="C385" s="1" t="s">
        <v>7199</v>
      </c>
      <c r="D385" s="1" t="s">
        <v>5068</v>
      </c>
      <c r="F385" s="1" t="s">
        <v>7200</v>
      </c>
      <c r="G385" s="1" t="s">
        <v>26</v>
      </c>
      <c r="H385" s="1" t="s">
        <v>5419</v>
      </c>
      <c r="I385" s="1" t="s">
        <v>18</v>
      </c>
      <c r="J385" s="1" t="s">
        <v>21</v>
      </c>
      <c r="K385" s="6" t="s">
        <v>7201</v>
      </c>
      <c r="L385" s="6" t="s">
        <v>7202</v>
      </c>
      <c r="M385" s="1" t="s">
        <v>5125</v>
      </c>
      <c r="R385" s="1" t="b">
        <v>0</v>
      </c>
      <c r="U385" s="1" t="b">
        <v>0</v>
      </c>
      <c r="V385" s="1" t="s">
        <v>7203</v>
      </c>
      <c r="W385" s="1" t="s">
        <v>7204</v>
      </c>
      <c r="X385" s="1">
        <v>200.0</v>
      </c>
      <c r="Y385" s="1" t="s">
        <v>5075</v>
      </c>
      <c r="AG385" s="5">
        <v>43508.0</v>
      </c>
    </row>
    <row r="386">
      <c r="A386" s="1">
        <v>197927.0</v>
      </c>
      <c r="B386" s="1">
        <v>0.0</v>
      </c>
      <c r="C386" s="1" t="s">
        <v>7205</v>
      </c>
      <c r="D386" s="1" t="s">
        <v>5068</v>
      </c>
      <c r="E386" s="5">
        <v>44026.0</v>
      </c>
      <c r="F386" s="1" t="s">
        <v>7206</v>
      </c>
      <c r="G386" s="1" t="s">
        <v>26</v>
      </c>
      <c r="H386" s="1" t="s">
        <v>5419</v>
      </c>
      <c r="I386" s="1" t="s">
        <v>18</v>
      </c>
      <c r="J386" s="1" t="s">
        <v>21</v>
      </c>
      <c r="K386" s="6" t="s">
        <v>7207</v>
      </c>
      <c r="L386" s="6" t="s">
        <v>7208</v>
      </c>
      <c r="M386" s="1" t="s">
        <v>5125</v>
      </c>
      <c r="R386" s="1" t="b">
        <v>0</v>
      </c>
      <c r="U386" s="1" t="b">
        <v>0</v>
      </c>
      <c r="V386" s="1" t="s">
        <v>7209</v>
      </c>
      <c r="W386" s="1" t="s">
        <v>7210</v>
      </c>
      <c r="X386" s="1">
        <v>200.0</v>
      </c>
      <c r="Y386" s="1" t="s">
        <v>5075</v>
      </c>
      <c r="AG386" s="5">
        <v>43508.0</v>
      </c>
    </row>
    <row r="387">
      <c r="A387" s="1">
        <v>197928.0</v>
      </c>
      <c r="B387" s="1">
        <v>0.0</v>
      </c>
      <c r="C387" s="1" t="s">
        <v>7211</v>
      </c>
      <c r="D387" s="1" t="s">
        <v>5068</v>
      </c>
      <c r="E387" s="5">
        <v>43929.0</v>
      </c>
      <c r="F387" s="1" t="s">
        <v>7212</v>
      </c>
      <c r="G387" s="1" t="s">
        <v>26</v>
      </c>
      <c r="H387" s="1" t="s">
        <v>5419</v>
      </c>
      <c r="I387" s="1" t="s">
        <v>356</v>
      </c>
      <c r="J387" s="1" t="s">
        <v>21</v>
      </c>
      <c r="K387" s="6" t="s">
        <v>7213</v>
      </c>
      <c r="L387" s="6" t="s">
        <v>7214</v>
      </c>
      <c r="M387" s="1" t="s">
        <v>5125</v>
      </c>
      <c r="R387" s="1" t="b">
        <v>0</v>
      </c>
      <c r="U387" s="1" t="b">
        <v>0</v>
      </c>
      <c r="V387" s="1" t="s">
        <v>6372</v>
      </c>
      <c r="Y387" s="1" t="s">
        <v>5075</v>
      </c>
      <c r="AG387" s="5">
        <v>43508.0</v>
      </c>
    </row>
    <row r="388">
      <c r="A388" s="1">
        <v>197934.0</v>
      </c>
      <c r="B388" s="1">
        <v>0.0</v>
      </c>
      <c r="C388" s="1" t="s">
        <v>7215</v>
      </c>
      <c r="D388" s="1" t="s">
        <v>5068</v>
      </c>
      <c r="F388" s="1" t="s">
        <v>7216</v>
      </c>
      <c r="G388" s="1" t="s">
        <v>26</v>
      </c>
      <c r="H388" s="1" t="s">
        <v>5102</v>
      </c>
      <c r="I388" s="1" t="s">
        <v>18</v>
      </c>
      <c r="J388" s="1" t="s">
        <v>5071</v>
      </c>
      <c r="K388" s="6" t="s">
        <v>7217</v>
      </c>
      <c r="L388" s="6" t="s">
        <v>7218</v>
      </c>
      <c r="M388" s="1" t="s">
        <v>5125</v>
      </c>
      <c r="O388" s="5">
        <v>42005.0</v>
      </c>
      <c r="R388" s="1" t="b">
        <v>0</v>
      </c>
      <c r="T388" s="1">
        <v>197915.0</v>
      </c>
      <c r="U388" s="1" t="b">
        <v>0</v>
      </c>
      <c r="V388" s="1" t="s">
        <v>7219</v>
      </c>
      <c r="W388" s="1" t="s">
        <v>7220</v>
      </c>
      <c r="X388" s="1">
        <v>200.0</v>
      </c>
      <c r="Y388" s="1" t="s">
        <v>5075</v>
      </c>
      <c r="Z388" s="1" t="s">
        <v>440</v>
      </c>
      <c r="AE388" s="6" t="s">
        <v>7221</v>
      </c>
      <c r="AG388" s="5">
        <v>43508.0</v>
      </c>
    </row>
    <row r="389">
      <c r="A389" s="1">
        <v>197935.0</v>
      </c>
      <c r="B389" s="1">
        <v>0.0</v>
      </c>
      <c r="C389" s="1" t="s">
        <v>7222</v>
      </c>
      <c r="D389" s="1" t="s">
        <v>5081</v>
      </c>
      <c r="F389" s="1" t="s">
        <v>7223</v>
      </c>
      <c r="G389" s="1" t="s">
        <v>26</v>
      </c>
      <c r="H389" s="1" t="s">
        <v>5102</v>
      </c>
      <c r="I389" s="1" t="s">
        <v>18</v>
      </c>
      <c r="J389" s="1" t="s">
        <v>5071</v>
      </c>
      <c r="K389" s="6" t="s">
        <v>7224</v>
      </c>
      <c r="L389" s="6" t="s">
        <v>7225</v>
      </c>
      <c r="M389" s="1" t="s">
        <v>5125</v>
      </c>
      <c r="O389" s="5">
        <v>42005.0</v>
      </c>
      <c r="R389" s="1" t="b">
        <v>0</v>
      </c>
      <c r="T389" s="1">
        <v>197915.0</v>
      </c>
      <c r="U389" s="1" t="b">
        <v>0</v>
      </c>
      <c r="V389" s="1" t="s">
        <v>7219</v>
      </c>
      <c r="W389" s="1" t="s">
        <v>7220</v>
      </c>
      <c r="X389" s="1">
        <v>200.0</v>
      </c>
      <c r="Z389" s="1" t="s">
        <v>440</v>
      </c>
      <c r="AA389" s="1" t="s">
        <v>7216</v>
      </c>
      <c r="AG389" s="5">
        <v>43508.0</v>
      </c>
    </row>
    <row r="390">
      <c r="A390" s="1">
        <v>197936.0</v>
      </c>
      <c r="B390" s="1">
        <v>0.0</v>
      </c>
      <c r="C390" s="1" t="s">
        <v>7226</v>
      </c>
      <c r="D390" s="1" t="s">
        <v>5068</v>
      </c>
      <c r="F390" s="1" t="s">
        <v>7227</v>
      </c>
      <c r="G390" s="1" t="s">
        <v>26</v>
      </c>
      <c r="H390" s="1" t="s">
        <v>5102</v>
      </c>
      <c r="I390" s="1" t="s">
        <v>18</v>
      </c>
      <c r="J390" s="1" t="s">
        <v>5071</v>
      </c>
      <c r="K390" s="6" t="s">
        <v>7228</v>
      </c>
      <c r="L390" s="6" t="s">
        <v>7229</v>
      </c>
      <c r="M390" s="1" t="s">
        <v>5125</v>
      </c>
      <c r="O390" s="5">
        <v>39814.0</v>
      </c>
      <c r="R390" s="1" t="b">
        <v>0</v>
      </c>
      <c r="T390" s="1">
        <v>4130.0</v>
      </c>
      <c r="U390" s="1" t="b">
        <v>0</v>
      </c>
      <c r="V390" s="1" t="s">
        <v>7230</v>
      </c>
      <c r="W390" s="1" t="s">
        <v>7231</v>
      </c>
      <c r="X390" s="1">
        <v>200.0</v>
      </c>
      <c r="Y390" s="1" t="s">
        <v>5075</v>
      </c>
      <c r="Z390" s="1" t="s">
        <v>435</v>
      </c>
      <c r="AE390" s="6" t="s">
        <v>7232</v>
      </c>
      <c r="AG390" s="5">
        <v>43508.0</v>
      </c>
    </row>
    <row r="391">
      <c r="A391" s="1">
        <v>197937.0</v>
      </c>
      <c r="B391" s="1">
        <v>0.0</v>
      </c>
      <c r="C391" s="1" t="s">
        <v>7233</v>
      </c>
      <c r="D391" s="1" t="s">
        <v>5081</v>
      </c>
      <c r="F391" s="1" t="s">
        <v>7234</v>
      </c>
      <c r="G391" s="1" t="s">
        <v>26</v>
      </c>
      <c r="H391" s="1" t="s">
        <v>5102</v>
      </c>
      <c r="I391" s="1" t="s">
        <v>18</v>
      </c>
      <c r="J391" s="1" t="s">
        <v>5071</v>
      </c>
      <c r="K391" s="6" t="s">
        <v>7235</v>
      </c>
      <c r="L391" s="6" t="s">
        <v>7236</v>
      </c>
      <c r="M391" s="1" t="s">
        <v>5125</v>
      </c>
      <c r="O391" s="5">
        <v>39814.0</v>
      </c>
      <c r="R391" s="1" t="b">
        <v>0</v>
      </c>
      <c r="T391" s="1">
        <v>4130.0</v>
      </c>
      <c r="U391" s="1" t="b">
        <v>0</v>
      </c>
      <c r="V391" s="1" t="s">
        <v>7230</v>
      </c>
      <c r="W391" s="1" t="s">
        <v>7231</v>
      </c>
      <c r="X391" s="1">
        <v>200.0</v>
      </c>
      <c r="Z391" s="1" t="s">
        <v>435</v>
      </c>
      <c r="AA391" s="1" t="s">
        <v>7227</v>
      </c>
      <c r="AG391" s="5">
        <v>43508.0</v>
      </c>
    </row>
    <row r="392">
      <c r="A392" s="1">
        <v>197938.0</v>
      </c>
      <c r="B392" s="1">
        <v>0.0</v>
      </c>
      <c r="C392" s="1" t="s">
        <v>7237</v>
      </c>
      <c r="D392" s="1" t="s">
        <v>5068</v>
      </c>
      <c r="F392" s="1" t="s">
        <v>7238</v>
      </c>
      <c r="G392" s="1" t="s">
        <v>26</v>
      </c>
      <c r="H392" s="1" t="s">
        <v>5102</v>
      </c>
      <c r="I392" s="1" t="s">
        <v>18</v>
      </c>
      <c r="J392" s="1" t="s">
        <v>5071</v>
      </c>
      <c r="K392" s="6" t="s">
        <v>7239</v>
      </c>
      <c r="L392" s="6" t="s">
        <v>7240</v>
      </c>
      <c r="M392" s="1" t="s">
        <v>5125</v>
      </c>
      <c r="O392" s="5">
        <v>31778.0</v>
      </c>
      <c r="R392" s="1" t="b">
        <v>0</v>
      </c>
      <c r="T392" s="1">
        <v>4130.0</v>
      </c>
      <c r="U392" s="1" t="b">
        <v>0</v>
      </c>
      <c r="V392" s="1" t="s">
        <v>5306</v>
      </c>
      <c r="W392" s="1" t="s">
        <v>7241</v>
      </c>
      <c r="X392" s="1">
        <v>200.0</v>
      </c>
      <c r="Y392" s="1" t="s">
        <v>5075</v>
      </c>
      <c r="Z392" s="1" t="s">
        <v>435</v>
      </c>
      <c r="AE392" s="6" t="s">
        <v>7242</v>
      </c>
      <c r="AG392" s="5">
        <v>43508.0</v>
      </c>
    </row>
    <row r="393">
      <c r="A393" s="1">
        <v>197939.0</v>
      </c>
      <c r="B393" s="1">
        <v>0.0</v>
      </c>
      <c r="C393" s="1" t="s">
        <v>7243</v>
      </c>
      <c r="D393" s="1" t="s">
        <v>5081</v>
      </c>
      <c r="F393" s="1" t="s">
        <v>7244</v>
      </c>
      <c r="G393" s="1" t="s">
        <v>26</v>
      </c>
      <c r="H393" s="1" t="s">
        <v>5102</v>
      </c>
      <c r="I393" s="1" t="s">
        <v>18</v>
      </c>
      <c r="J393" s="1" t="s">
        <v>5071</v>
      </c>
      <c r="K393" s="6" t="s">
        <v>7245</v>
      </c>
      <c r="L393" s="6" t="s">
        <v>7246</v>
      </c>
      <c r="M393" s="1" t="s">
        <v>5125</v>
      </c>
      <c r="O393" s="5">
        <v>31778.0</v>
      </c>
      <c r="R393" s="1" t="b">
        <v>0</v>
      </c>
      <c r="T393" s="1">
        <v>4130.0</v>
      </c>
      <c r="U393" s="1" t="b">
        <v>0</v>
      </c>
      <c r="V393" s="1" t="s">
        <v>5306</v>
      </c>
      <c r="W393" s="1" t="s">
        <v>7241</v>
      </c>
      <c r="X393" s="1">
        <v>200.0</v>
      </c>
      <c r="Z393" s="1" t="s">
        <v>435</v>
      </c>
      <c r="AA393" s="1" t="s">
        <v>7238</v>
      </c>
      <c r="AG393" s="5">
        <v>43508.0</v>
      </c>
    </row>
    <row r="394">
      <c r="A394" s="1">
        <v>197940.0</v>
      </c>
      <c r="B394" s="1">
        <v>0.0</v>
      </c>
      <c r="C394" s="1" t="s">
        <v>7247</v>
      </c>
      <c r="D394" s="1" t="s">
        <v>5068</v>
      </c>
      <c r="E394" s="5">
        <v>44132.0</v>
      </c>
      <c r="F394" s="1" t="s">
        <v>7248</v>
      </c>
      <c r="G394" s="1" t="s">
        <v>5368</v>
      </c>
      <c r="H394" s="1" t="s">
        <v>5102</v>
      </c>
      <c r="I394" s="1" t="s">
        <v>18</v>
      </c>
      <c r="J394" s="1" t="s">
        <v>5071</v>
      </c>
      <c r="K394" s="6" t="s">
        <v>7249</v>
      </c>
      <c r="L394" s="6" t="s">
        <v>7250</v>
      </c>
      <c r="M394" s="1" t="s">
        <v>5125</v>
      </c>
      <c r="O394" s="5">
        <v>35065.0</v>
      </c>
      <c r="R394" s="1" t="b">
        <v>0</v>
      </c>
      <c r="T394" s="1">
        <v>4130.0</v>
      </c>
      <c r="U394" s="1" t="b">
        <v>0</v>
      </c>
      <c r="V394" s="1" t="s">
        <v>7251</v>
      </c>
      <c r="W394" s="1" t="s">
        <v>7252</v>
      </c>
      <c r="X394" s="1">
        <v>200.0</v>
      </c>
      <c r="Y394" s="1" t="s">
        <v>5075</v>
      </c>
      <c r="Z394" s="1" t="s">
        <v>435</v>
      </c>
      <c r="AE394" s="6" t="s">
        <v>7253</v>
      </c>
      <c r="AG394" s="5">
        <v>43508.0</v>
      </c>
    </row>
    <row r="395">
      <c r="A395" s="1">
        <v>197941.0</v>
      </c>
      <c r="B395" s="1">
        <v>0.0</v>
      </c>
      <c r="C395" s="1" t="s">
        <v>7254</v>
      </c>
      <c r="D395" s="1" t="s">
        <v>5081</v>
      </c>
      <c r="E395" s="5">
        <v>44132.0</v>
      </c>
      <c r="F395" s="1" t="s">
        <v>7255</v>
      </c>
      <c r="G395" s="1" t="s">
        <v>5368</v>
      </c>
      <c r="H395" s="1" t="s">
        <v>5102</v>
      </c>
      <c r="I395" s="1" t="s">
        <v>18</v>
      </c>
      <c r="J395" s="1" t="s">
        <v>5071</v>
      </c>
      <c r="K395" s="1" t="s">
        <v>5072</v>
      </c>
      <c r="L395" s="6" t="s">
        <v>7256</v>
      </c>
      <c r="M395" s="1" t="s">
        <v>5125</v>
      </c>
      <c r="O395" s="5">
        <v>35065.0</v>
      </c>
      <c r="R395" s="1" t="b">
        <v>0</v>
      </c>
      <c r="T395" s="1">
        <v>4130.0</v>
      </c>
      <c r="U395" s="1" t="b">
        <v>0</v>
      </c>
      <c r="V395" s="1" t="s">
        <v>7251</v>
      </c>
      <c r="W395" s="1" t="s">
        <v>7252</v>
      </c>
      <c r="X395" s="1">
        <v>408.0</v>
      </c>
      <c r="Z395" s="1" t="s">
        <v>435</v>
      </c>
      <c r="AA395" s="1" t="s">
        <v>7248</v>
      </c>
      <c r="AG395" s="5">
        <v>43508.0</v>
      </c>
    </row>
    <row r="396">
      <c r="A396" s="1">
        <v>197942.0</v>
      </c>
      <c r="B396" s="1">
        <v>0.0</v>
      </c>
      <c r="C396" s="1" t="s">
        <v>7257</v>
      </c>
      <c r="D396" s="1" t="s">
        <v>5068</v>
      </c>
      <c r="F396" s="1" t="s">
        <v>7258</v>
      </c>
      <c r="G396" s="1" t="s">
        <v>26</v>
      </c>
      <c r="H396" s="1" t="s">
        <v>5102</v>
      </c>
      <c r="I396" s="1" t="s">
        <v>18</v>
      </c>
      <c r="J396" s="1" t="s">
        <v>21</v>
      </c>
      <c r="K396" s="6" t="s">
        <v>7259</v>
      </c>
      <c r="L396" s="6" t="s">
        <v>7260</v>
      </c>
      <c r="M396" s="1" t="s">
        <v>5125</v>
      </c>
      <c r="O396" s="5">
        <v>40544.0</v>
      </c>
      <c r="R396" s="1" t="b">
        <v>0</v>
      </c>
      <c r="T396" s="1">
        <v>190.0</v>
      </c>
      <c r="U396" s="1" t="b">
        <v>0</v>
      </c>
      <c r="V396" s="1" t="s">
        <v>7261</v>
      </c>
      <c r="W396" s="1" t="s">
        <v>7262</v>
      </c>
      <c r="X396" s="1">
        <v>200.0</v>
      </c>
      <c r="Y396" s="1" t="s">
        <v>5075</v>
      </c>
      <c r="Z396" s="1" t="s">
        <v>3999</v>
      </c>
      <c r="AE396" s="6" t="s">
        <v>7263</v>
      </c>
      <c r="AG396" s="5">
        <v>43508.0</v>
      </c>
    </row>
    <row r="397">
      <c r="A397" s="1">
        <v>197943.0</v>
      </c>
      <c r="B397" s="1">
        <v>0.0</v>
      </c>
      <c r="C397" s="1" t="s">
        <v>7264</v>
      </c>
      <c r="D397" s="1" t="s">
        <v>5068</v>
      </c>
      <c r="E397" s="5">
        <v>43984.0</v>
      </c>
      <c r="F397" s="1" t="s">
        <v>7265</v>
      </c>
      <c r="G397" s="1" t="s">
        <v>26</v>
      </c>
      <c r="H397" s="1" t="s">
        <v>5102</v>
      </c>
      <c r="I397" s="1" t="s">
        <v>18</v>
      </c>
      <c r="J397" s="1" t="s">
        <v>24</v>
      </c>
      <c r="K397" s="6" t="s">
        <v>7266</v>
      </c>
      <c r="L397" s="6" t="s">
        <v>7267</v>
      </c>
      <c r="M397" s="1" t="s">
        <v>5125</v>
      </c>
      <c r="O397" s="5">
        <v>29952.0</v>
      </c>
      <c r="R397" s="1" t="b">
        <v>0</v>
      </c>
      <c r="T397" s="1">
        <v>3862.0</v>
      </c>
      <c r="U397" s="1" t="b">
        <v>0</v>
      </c>
      <c r="V397" s="1" t="s">
        <v>7203</v>
      </c>
      <c r="W397" s="1" t="s">
        <v>7268</v>
      </c>
      <c r="X397" s="1">
        <v>200.0</v>
      </c>
      <c r="Y397" s="1" t="s">
        <v>5075</v>
      </c>
      <c r="Z397" s="1" t="s">
        <v>5923</v>
      </c>
      <c r="AE397" s="6" t="s">
        <v>7269</v>
      </c>
      <c r="AG397" s="5">
        <v>43508.0</v>
      </c>
    </row>
    <row r="398">
      <c r="A398" s="1">
        <v>197945.0</v>
      </c>
      <c r="B398" s="1">
        <v>0.0</v>
      </c>
      <c r="C398" s="1" t="s">
        <v>7270</v>
      </c>
      <c r="D398" s="1" t="s">
        <v>5068</v>
      </c>
      <c r="E398" s="5">
        <v>43521.0</v>
      </c>
      <c r="F398" s="1" t="s">
        <v>7271</v>
      </c>
      <c r="G398" s="1" t="s">
        <v>26</v>
      </c>
      <c r="H398" s="1" t="s">
        <v>5419</v>
      </c>
      <c r="I398" s="1" t="s">
        <v>18</v>
      </c>
      <c r="J398" s="1" t="s">
        <v>21</v>
      </c>
      <c r="K398" s="6" t="s">
        <v>7272</v>
      </c>
      <c r="L398" s="6" t="s">
        <v>7273</v>
      </c>
      <c r="M398" s="1" t="s">
        <v>5125</v>
      </c>
      <c r="R398" s="1" t="b">
        <v>0</v>
      </c>
      <c r="T398" s="1">
        <v>63.0</v>
      </c>
      <c r="U398" s="1" t="b">
        <v>0</v>
      </c>
      <c r="V398" s="1" t="s">
        <v>5546</v>
      </c>
      <c r="W398" s="1" t="s">
        <v>7274</v>
      </c>
      <c r="X398" s="1">
        <v>200.0</v>
      </c>
      <c r="Y398" s="1" t="s">
        <v>5142</v>
      </c>
      <c r="Z398" s="1" t="s">
        <v>4711</v>
      </c>
      <c r="AC398" s="1" t="s">
        <v>5077</v>
      </c>
      <c r="AD398" s="1" t="s">
        <v>5093</v>
      </c>
      <c r="AG398" s="5">
        <v>43508.0</v>
      </c>
      <c r="AH398" s="1">
        <v>159605.0</v>
      </c>
    </row>
    <row r="399">
      <c r="A399" s="1">
        <v>197946.0</v>
      </c>
      <c r="B399" s="1">
        <v>0.0</v>
      </c>
      <c r="C399" s="1" t="s">
        <v>7275</v>
      </c>
      <c r="D399" s="1" t="s">
        <v>5068</v>
      </c>
      <c r="F399" s="1" t="s">
        <v>7276</v>
      </c>
      <c r="G399" s="1" t="s">
        <v>26</v>
      </c>
      <c r="H399" s="1" t="s">
        <v>5419</v>
      </c>
      <c r="I399" s="1" t="s">
        <v>18</v>
      </c>
      <c r="J399" s="1" t="s">
        <v>21</v>
      </c>
      <c r="K399" s="6" t="s">
        <v>7277</v>
      </c>
      <c r="L399" s="6" t="s">
        <v>7278</v>
      </c>
      <c r="M399" s="1" t="s">
        <v>5125</v>
      </c>
      <c r="R399" s="1" t="b">
        <v>0</v>
      </c>
      <c r="T399" s="1">
        <v>4503.0</v>
      </c>
      <c r="U399" s="1" t="b">
        <v>0</v>
      </c>
      <c r="V399" s="1" t="s">
        <v>7279</v>
      </c>
      <c r="W399" s="1" t="s">
        <v>7280</v>
      </c>
      <c r="X399" s="1">
        <v>200.0</v>
      </c>
      <c r="Y399" s="1" t="s">
        <v>5075</v>
      </c>
      <c r="Z399" s="1" t="s">
        <v>6438</v>
      </c>
      <c r="AG399" s="5">
        <v>43508.0</v>
      </c>
    </row>
    <row r="400">
      <c r="A400" s="1">
        <v>197947.0</v>
      </c>
      <c r="B400" s="1">
        <v>0.0</v>
      </c>
      <c r="C400" s="1" t="s">
        <v>429</v>
      </c>
      <c r="D400" s="1" t="s">
        <v>5068</v>
      </c>
      <c r="E400" s="5">
        <v>44713.0</v>
      </c>
      <c r="F400" s="1" t="s">
        <v>430</v>
      </c>
      <c r="G400" s="1" t="s">
        <v>26</v>
      </c>
      <c r="H400" s="1" t="s">
        <v>5419</v>
      </c>
      <c r="I400" s="1" t="s">
        <v>18</v>
      </c>
      <c r="J400" s="1" t="s">
        <v>21</v>
      </c>
      <c r="K400" s="6" t="s">
        <v>7281</v>
      </c>
      <c r="L400" s="6" t="s">
        <v>7282</v>
      </c>
      <c r="M400" s="1" t="s">
        <v>5125</v>
      </c>
      <c r="R400" s="1" t="b">
        <v>0</v>
      </c>
      <c r="T400" s="1">
        <v>609.0</v>
      </c>
      <c r="U400" s="1" t="b">
        <v>0</v>
      </c>
      <c r="V400" s="1" t="s">
        <v>7283</v>
      </c>
      <c r="W400" s="1" t="s">
        <v>7284</v>
      </c>
      <c r="X400" s="1">
        <v>200.0</v>
      </c>
      <c r="Y400" s="1" t="s">
        <v>5142</v>
      </c>
      <c r="Z400" s="1" t="s">
        <v>758</v>
      </c>
      <c r="AC400" s="1" t="s">
        <v>5077</v>
      </c>
      <c r="AD400" s="1" t="s">
        <v>5093</v>
      </c>
      <c r="AG400" s="5">
        <v>43508.0</v>
      </c>
      <c r="AH400" s="1">
        <v>350380.0</v>
      </c>
    </row>
    <row r="401">
      <c r="A401" s="1">
        <v>197948.0</v>
      </c>
      <c r="B401" s="1">
        <v>0.0</v>
      </c>
      <c r="C401" s="1" t="s">
        <v>81</v>
      </c>
      <c r="D401" s="1" t="s">
        <v>5068</v>
      </c>
      <c r="E401" s="5">
        <v>44883.0</v>
      </c>
      <c r="F401" s="1" t="s">
        <v>82</v>
      </c>
      <c r="G401" s="1" t="s">
        <v>5368</v>
      </c>
      <c r="H401" s="1" t="s">
        <v>5419</v>
      </c>
      <c r="I401" s="1" t="s">
        <v>18</v>
      </c>
      <c r="J401" s="1" t="s">
        <v>21</v>
      </c>
      <c r="K401" s="6" t="s">
        <v>7285</v>
      </c>
      <c r="L401" s="6" t="s">
        <v>7286</v>
      </c>
      <c r="M401" s="1" t="s">
        <v>5125</v>
      </c>
      <c r="R401" s="1" t="b">
        <v>0</v>
      </c>
      <c r="T401" s="1">
        <v>4503.0</v>
      </c>
      <c r="U401" s="1" t="b">
        <v>0</v>
      </c>
      <c r="V401" s="1" t="s">
        <v>5546</v>
      </c>
      <c r="W401" s="1" t="s">
        <v>7287</v>
      </c>
      <c r="X401" s="1">
        <v>200.0</v>
      </c>
      <c r="Y401" s="1" t="s">
        <v>5075</v>
      </c>
      <c r="Z401" s="1" t="s">
        <v>6438</v>
      </c>
      <c r="AG401" s="5">
        <v>43508.0</v>
      </c>
    </row>
    <row r="402">
      <c r="A402" s="1">
        <v>197950.0</v>
      </c>
      <c r="B402" s="1">
        <v>0.0</v>
      </c>
      <c r="C402" s="1" t="s">
        <v>7288</v>
      </c>
      <c r="D402" s="1" t="s">
        <v>5068</v>
      </c>
      <c r="E402" s="5">
        <v>43929.0</v>
      </c>
      <c r="F402" s="1" t="s">
        <v>7289</v>
      </c>
      <c r="G402" s="1" t="s">
        <v>26</v>
      </c>
      <c r="H402" s="1" t="s">
        <v>5419</v>
      </c>
      <c r="I402" s="1" t="s">
        <v>356</v>
      </c>
      <c r="J402" s="1" t="s">
        <v>21</v>
      </c>
      <c r="K402" s="6" t="s">
        <v>7290</v>
      </c>
      <c r="L402" s="6" t="s">
        <v>7291</v>
      </c>
      <c r="M402" s="1" t="s">
        <v>5125</v>
      </c>
      <c r="R402" s="1" t="b">
        <v>0</v>
      </c>
      <c r="T402" s="1">
        <v>4503.0</v>
      </c>
      <c r="U402" s="1" t="b">
        <v>0</v>
      </c>
      <c r="V402" s="1" t="s">
        <v>7292</v>
      </c>
      <c r="Z402" s="1" t="s">
        <v>6438</v>
      </c>
      <c r="AG402" s="5">
        <v>43508.0</v>
      </c>
    </row>
    <row r="403">
      <c r="A403" s="1">
        <v>197951.0</v>
      </c>
      <c r="B403" s="1">
        <v>0.0</v>
      </c>
      <c r="C403" s="1" t="s">
        <v>7293</v>
      </c>
      <c r="D403" s="1" t="s">
        <v>5068</v>
      </c>
      <c r="E403" s="5">
        <v>44293.0</v>
      </c>
      <c r="F403" s="1" t="s">
        <v>7294</v>
      </c>
      <c r="G403" s="1" t="s">
        <v>26</v>
      </c>
      <c r="H403" s="1" t="s">
        <v>5419</v>
      </c>
      <c r="I403" s="1" t="s">
        <v>18</v>
      </c>
      <c r="J403" s="1" t="s">
        <v>21</v>
      </c>
      <c r="K403" s="6" t="s">
        <v>7295</v>
      </c>
      <c r="L403" s="6" t="s">
        <v>7296</v>
      </c>
      <c r="M403" s="1" t="s">
        <v>5125</v>
      </c>
      <c r="R403" s="1" t="b">
        <v>0</v>
      </c>
      <c r="T403" s="1">
        <v>609.0</v>
      </c>
      <c r="U403" s="1" t="b">
        <v>0</v>
      </c>
      <c r="V403" s="1" t="s">
        <v>5688</v>
      </c>
      <c r="W403" s="1" t="s">
        <v>7297</v>
      </c>
      <c r="X403" s="1">
        <v>200.0</v>
      </c>
      <c r="Y403" s="1" t="s">
        <v>5142</v>
      </c>
      <c r="Z403" s="1" t="s">
        <v>758</v>
      </c>
      <c r="AC403" s="1" t="s">
        <v>5077</v>
      </c>
      <c r="AD403" s="1" t="s">
        <v>5093</v>
      </c>
      <c r="AG403" s="5">
        <v>43508.0</v>
      </c>
      <c r="AH403" s="1">
        <v>315774.0</v>
      </c>
    </row>
    <row r="404">
      <c r="A404" s="1">
        <v>197953.0</v>
      </c>
      <c r="B404" s="1">
        <v>0.0</v>
      </c>
      <c r="C404" s="1" t="s">
        <v>7298</v>
      </c>
      <c r="D404" s="1" t="s">
        <v>5068</v>
      </c>
      <c r="E404" s="5">
        <v>43642.0</v>
      </c>
      <c r="F404" s="1" t="s">
        <v>7299</v>
      </c>
      <c r="G404" s="1" t="s">
        <v>26</v>
      </c>
      <c r="H404" s="1" t="s">
        <v>5102</v>
      </c>
      <c r="I404" s="1" t="s">
        <v>356</v>
      </c>
      <c r="J404" s="1" t="s">
        <v>5071</v>
      </c>
      <c r="K404" s="6" t="s">
        <v>7300</v>
      </c>
      <c r="L404" s="6" t="s">
        <v>7301</v>
      </c>
      <c r="M404" s="1" t="s">
        <v>5125</v>
      </c>
      <c r="O404" s="5">
        <v>34335.0</v>
      </c>
      <c r="Q404" s="5">
        <v>43678.0</v>
      </c>
      <c r="R404" s="1" t="b">
        <v>0</v>
      </c>
      <c r="T404" s="1">
        <v>4138.0</v>
      </c>
      <c r="U404" s="1" t="b">
        <v>0</v>
      </c>
      <c r="V404" s="1" t="s">
        <v>7302</v>
      </c>
      <c r="W404" s="1" t="s">
        <v>7303</v>
      </c>
      <c r="X404" s="1">
        <v>200.0</v>
      </c>
      <c r="Z404" s="1" t="s">
        <v>6065</v>
      </c>
      <c r="AE404" s="6" t="s">
        <v>7304</v>
      </c>
      <c r="AG404" s="5">
        <v>43508.0</v>
      </c>
    </row>
    <row r="405">
      <c r="A405" s="1">
        <v>197954.0</v>
      </c>
      <c r="B405" s="1">
        <v>0.0</v>
      </c>
      <c r="C405" s="1" t="s">
        <v>7305</v>
      </c>
      <c r="D405" s="1" t="s">
        <v>5081</v>
      </c>
      <c r="E405" s="5">
        <v>43642.0</v>
      </c>
      <c r="F405" s="1" t="s">
        <v>7306</v>
      </c>
      <c r="G405" s="1" t="s">
        <v>26</v>
      </c>
      <c r="H405" s="1" t="s">
        <v>5102</v>
      </c>
      <c r="I405" s="1" t="s">
        <v>356</v>
      </c>
      <c r="J405" s="1" t="s">
        <v>5071</v>
      </c>
      <c r="K405" s="6" t="s">
        <v>7307</v>
      </c>
      <c r="L405" s="6" t="s">
        <v>7308</v>
      </c>
      <c r="M405" s="1" t="s">
        <v>5125</v>
      </c>
      <c r="O405" s="5">
        <v>34335.0</v>
      </c>
      <c r="Q405" s="5">
        <v>43678.0</v>
      </c>
      <c r="R405" s="1" t="b">
        <v>0</v>
      </c>
      <c r="T405" s="1">
        <v>4138.0</v>
      </c>
      <c r="U405" s="1" t="b">
        <v>0</v>
      </c>
      <c r="V405" s="1" t="s">
        <v>7302</v>
      </c>
      <c r="W405" s="1" t="s">
        <v>7303</v>
      </c>
      <c r="X405" s="1">
        <v>200.0</v>
      </c>
      <c r="Z405" s="1" t="s">
        <v>6065</v>
      </c>
      <c r="AA405" s="1" t="s">
        <v>7299</v>
      </c>
      <c r="AG405" s="5">
        <v>43508.0</v>
      </c>
    </row>
    <row r="406">
      <c r="A406" s="1">
        <v>197955.0</v>
      </c>
      <c r="B406" s="1">
        <v>0.0</v>
      </c>
      <c r="C406" s="1" t="s">
        <v>7309</v>
      </c>
      <c r="D406" s="1" t="s">
        <v>5068</v>
      </c>
      <c r="E406" s="5">
        <v>44182.0</v>
      </c>
      <c r="F406" s="1" t="s">
        <v>7310</v>
      </c>
      <c r="G406" s="1" t="s">
        <v>26</v>
      </c>
      <c r="H406" s="1" t="s">
        <v>5070</v>
      </c>
      <c r="I406" s="1" t="s">
        <v>18</v>
      </c>
      <c r="J406" s="1" t="s">
        <v>21</v>
      </c>
      <c r="K406" s="6" t="s">
        <v>7311</v>
      </c>
      <c r="L406" s="6" t="s">
        <v>7312</v>
      </c>
      <c r="M406" s="1" t="s">
        <v>5125</v>
      </c>
      <c r="R406" s="1" t="b">
        <v>0</v>
      </c>
      <c r="T406" s="1">
        <v>609.0</v>
      </c>
      <c r="U406" s="1" t="b">
        <v>0</v>
      </c>
      <c r="V406" s="1" t="s">
        <v>6004</v>
      </c>
      <c r="W406" s="1" t="s">
        <v>7313</v>
      </c>
      <c r="X406" s="1">
        <v>200.0</v>
      </c>
      <c r="Y406" s="1" t="s">
        <v>5075</v>
      </c>
      <c r="Z406" s="1" t="s">
        <v>758</v>
      </c>
      <c r="AG406" s="5">
        <v>43508.0</v>
      </c>
    </row>
    <row r="407">
      <c r="A407" s="1">
        <v>198652.0</v>
      </c>
      <c r="B407" s="1">
        <v>1.0</v>
      </c>
      <c r="C407" s="1" t="s">
        <v>685</v>
      </c>
      <c r="D407" s="1" t="s">
        <v>5068</v>
      </c>
      <c r="E407" s="5">
        <v>44607.0</v>
      </c>
      <c r="F407" s="1" t="s">
        <v>686</v>
      </c>
      <c r="G407" s="1" t="s">
        <v>26</v>
      </c>
      <c r="H407" s="1" t="s">
        <v>5102</v>
      </c>
      <c r="I407" s="1" t="s">
        <v>18</v>
      </c>
      <c r="J407" s="1" t="s">
        <v>221</v>
      </c>
      <c r="K407" s="6" t="s">
        <v>7314</v>
      </c>
      <c r="L407" s="6" t="s">
        <v>7315</v>
      </c>
      <c r="M407" s="1" t="s">
        <v>5125</v>
      </c>
      <c r="R407" s="1" t="b">
        <v>0</v>
      </c>
      <c r="U407" s="1" t="b">
        <v>0</v>
      </c>
      <c r="V407" s="1" t="s">
        <v>5681</v>
      </c>
      <c r="W407" s="1" t="s">
        <v>7316</v>
      </c>
      <c r="X407" s="1">
        <v>200.0</v>
      </c>
      <c r="Y407" s="1" t="s">
        <v>5075</v>
      </c>
      <c r="AE407" s="6" t="s">
        <v>7317</v>
      </c>
      <c r="AG407" s="5">
        <v>43510.0</v>
      </c>
    </row>
    <row r="408">
      <c r="A408" s="1">
        <v>198653.0</v>
      </c>
      <c r="B408" s="1">
        <v>1.0</v>
      </c>
      <c r="C408" s="1" t="s">
        <v>86</v>
      </c>
      <c r="D408" s="1" t="s">
        <v>5068</v>
      </c>
      <c r="E408" s="5">
        <v>44874.0</v>
      </c>
      <c r="F408" s="1" t="s">
        <v>87</v>
      </c>
      <c r="G408" s="1" t="s">
        <v>26</v>
      </c>
      <c r="H408" s="1" t="s">
        <v>5102</v>
      </c>
      <c r="I408" s="1" t="s">
        <v>18</v>
      </c>
      <c r="J408" s="1" t="s">
        <v>53</v>
      </c>
      <c r="K408" s="6" t="s">
        <v>7318</v>
      </c>
      <c r="L408" s="6" t="s">
        <v>7319</v>
      </c>
      <c r="M408" s="1" t="s">
        <v>5125</v>
      </c>
      <c r="O408" s="5">
        <v>32509.0</v>
      </c>
      <c r="R408" s="1" t="b">
        <v>0</v>
      </c>
      <c r="U408" s="1" t="b">
        <v>0</v>
      </c>
      <c r="V408" s="1" t="s">
        <v>5681</v>
      </c>
      <c r="W408" s="1" t="s">
        <v>7320</v>
      </c>
      <c r="X408" s="1">
        <v>200.0</v>
      </c>
      <c r="Y408" s="1" t="s">
        <v>5075</v>
      </c>
      <c r="AC408" s="1" t="s">
        <v>5077</v>
      </c>
      <c r="AD408" s="1" t="s">
        <v>5093</v>
      </c>
      <c r="AE408" s="6" t="s">
        <v>7321</v>
      </c>
      <c r="AG408" s="5">
        <v>43510.0</v>
      </c>
      <c r="AH408" s="1">
        <v>374464.0</v>
      </c>
    </row>
    <row r="409">
      <c r="A409" s="1">
        <v>198654.0</v>
      </c>
      <c r="B409" s="1">
        <v>0.0</v>
      </c>
      <c r="C409" s="1" t="s">
        <v>247</v>
      </c>
      <c r="D409" s="1" t="s">
        <v>5068</v>
      </c>
      <c r="E409" s="5">
        <v>44789.0</v>
      </c>
      <c r="F409" s="1" t="s">
        <v>248</v>
      </c>
      <c r="G409" s="1" t="s">
        <v>26</v>
      </c>
      <c r="H409" s="1" t="s">
        <v>5116</v>
      </c>
      <c r="I409" s="1" t="s">
        <v>18</v>
      </c>
      <c r="J409" s="1" t="s">
        <v>5071</v>
      </c>
      <c r="K409" s="1" t="s">
        <v>5072</v>
      </c>
      <c r="L409" s="6" t="s">
        <v>7322</v>
      </c>
      <c r="M409" s="1" t="s">
        <v>7323</v>
      </c>
      <c r="R409" s="1" t="b">
        <v>0</v>
      </c>
      <c r="U409" s="1" t="b">
        <v>0</v>
      </c>
      <c r="V409" s="1" t="s">
        <v>7324</v>
      </c>
      <c r="Y409" s="1" t="s">
        <v>5075</v>
      </c>
      <c r="AG409" s="5">
        <v>43510.0</v>
      </c>
    </row>
    <row r="410">
      <c r="A410" s="1">
        <v>439535.0</v>
      </c>
      <c r="B410" s="1">
        <v>0.0</v>
      </c>
      <c r="C410" s="1" t="s">
        <v>7325</v>
      </c>
      <c r="D410" s="1" t="s">
        <v>5081</v>
      </c>
      <c r="E410" s="5">
        <v>44789.0</v>
      </c>
      <c r="F410" s="6" t="s">
        <v>7326</v>
      </c>
      <c r="G410" s="1" t="s">
        <v>26</v>
      </c>
      <c r="H410" s="1" t="s">
        <v>5116</v>
      </c>
      <c r="I410" s="1" t="s">
        <v>18</v>
      </c>
      <c r="J410" s="1" t="s">
        <v>5071</v>
      </c>
      <c r="K410" s="6" t="s">
        <v>7327</v>
      </c>
      <c r="L410" s="6" t="s">
        <v>7328</v>
      </c>
      <c r="M410" s="1" t="s">
        <v>5125</v>
      </c>
      <c r="R410" s="1" t="b">
        <v>0</v>
      </c>
      <c r="U410" s="1" t="b">
        <v>0</v>
      </c>
      <c r="V410" s="1" t="s">
        <v>7324</v>
      </c>
      <c r="X410" s="1">
        <v>200.0</v>
      </c>
      <c r="AA410" s="1" t="s">
        <v>248</v>
      </c>
      <c r="AG410" s="5">
        <v>44398.0</v>
      </c>
    </row>
    <row r="411">
      <c r="A411" s="1">
        <v>198655.0</v>
      </c>
      <c r="B411" s="1">
        <v>0.0</v>
      </c>
      <c r="C411" s="1" t="s">
        <v>242</v>
      </c>
      <c r="D411" s="1" t="s">
        <v>5068</v>
      </c>
      <c r="E411" s="5">
        <v>44790.0</v>
      </c>
      <c r="F411" s="1" t="s">
        <v>243</v>
      </c>
      <c r="G411" s="1" t="s">
        <v>26</v>
      </c>
      <c r="H411" s="1" t="s">
        <v>5116</v>
      </c>
      <c r="I411" s="1" t="s">
        <v>18</v>
      </c>
      <c r="J411" s="1" t="s">
        <v>5071</v>
      </c>
      <c r="K411" s="1" t="s">
        <v>5072</v>
      </c>
      <c r="L411" s="6" t="s">
        <v>7329</v>
      </c>
      <c r="M411" s="1" t="s">
        <v>7330</v>
      </c>
      <c r="R411" s="1" t="b">
        <v>0</v>
      </c>
      <c r="U411" s="1" t="b">
        <v>0</v>
      </c>
      <c r="V411" s="1" t="s">
        <v>7324</v>
      </c>
      <c r="X411" s="1">
        <v>200.0</v>
      </c>
      <c r="Y411" s="1" t="s">
        <v>5075</v>
      </c>
      <c r="AG411" s="5">
        <v>43510.0</v>
      </c>
    </row>
    <row r="412">
      <c r="A412" s="1">
        <v>439536.0</v>
      </c>
      <c r="B412" s="1">
        <v>0.0</v>
      </c>
      <c r="C412" s="1" t="s">
        <v>7331</v>
      </c>
      <c r="D412" s="1" t="s">
        <v>5081</v>
      </c>
      <c r="E412" s="5">
        <v>44790.0</v>
      </c>
      <c r="F412" s="6" t="s">
        <v>7332</v>
      </c>
      <c r="G412" s="1" t="s">
        <v>26</v>
      </c>
      <c r="H412" s="1" t="s">
        <v>5116</v>
      </c>
      <c r="I412" s="1" t="s">
        <v>18</v>
      </c>
      <c r="J412" s="1" t="s">
        <v>5071</v>
      </c>
      <c r="K412" s="6" t="s">
        <v>7333</v>
      </c>
      <c r="L412" s="6" t="s">
        <v>7334</v>
      </c>
      <c r="M412" s="1" t="s">
        <v>5125</v>
      </c>
      <c r="R412" s="1" t="b">
        <v>0</v>
      </c>
      <c r="U412" s="1" t="b">
        <v>0</v>
      </c>
      <c r="V412" s="1" t="s">
        <v>7324</v>
      </c>
      <c r="X412" s="1">
        <v>200.0</v>
      </c>
      <c r="AA412" s="1" t="s">
        <v>243</v>
      </c>
      <c r="AG412" s="5">
        <v>44398.0</v>
      </c>
    </row>
    <row r="413">
      <c r="A413" s="1">
        <v>198656.0</v>
      </c>
      <c r="B413" s="1">
        <v>0.0</v>
      </c>
      <c r="C413" s="1" t="s">
        <v>257</v>
      </c>
      <c r="D413" s="1" t="s">
        <v>5068</v>
      </c>
      <c r="E413" s="5">
        <v>44789.0</v>
      </c>
      <c r="F413" s="1" t="s">
        <v>258</v>
      </c>
      <c r="G413" s="1" t="s">
        <v>26</v>
      </c>
      <c r="H413" s="1" t="s">
        <v>5116</v>
      </c>
      <c r="I413" s="1" t="s">
        <v>18</v>
      </c>
      <c r="J413" s="1" t="s">
        <v>5071</v>
      </c>
      <c r="K413" s="1" t="s">
        <v>5072</v>
      </c>
      <c r="L413" s="6" t="s">
        <v>7335</v>
      </c>
      <c r="M413" s="1" t="s">
        <v>7336</v>
      </c>
      <c r="R413" s="1" t="b">
        <v>0</v>
      </c>
      <c r="U413" s="1" t="b">
        <v>0</v>
      </c>
      <c r="V413" s="1" t="s">
        <v>7324</v>
      </c>
      <c r="X413" s="1">
        <v>200.0</v>
      </c>
      <c r="Y413" s="1" t="s">
        <v>5075</v>
      </c>
      <c r="AG413" s="5">
        <v>43510.0</v>
      </c>
    </row>
    <row r="414">
      <c r="A414" s="1">
        <v>405723.0</v>
      </c>
      <c r="B414" s="1">
        <v>0.0</v>
      </c>
      <c r="C414" s="1" t="s">
        <v>257</v>
      </c>
      <c r="D414" s="1" t="s">
        <v>5081</v>
      </c>
      <c r="E414" s="5">
        <v>44789.0</v>
      </c>
      <c r="F414" s="1" t="s">
        <v>7337</v>
      </c>
      <c r="G414" s="1" t="s">
        <v>26</v>
      </c>
      <c r="H414" s="1" t="s">
        <v>5116</v>
      </c>
      <c r="I414" s="1" t="s">
        <v>18</v>
      </c>
      <c r="J414" s="1" t="s">
        <v>5071</v>
      </c>
      <c r="K414" s="6" t="s">
        <v>7338</v>
      </c>
      <c r="L414" s="6" t="s">
        <v>7339</v>
      </c>
      <c r="M414" s="1" t="s">
        <v>7340</v>
      </c>
      <c r="R414" s="1" t="b">
        <v>0</v>
      </c>
      <c r="U414" s="1" t="b">
        <v>0</v>
      </c>
      <c r="V414" s="1" t="s">
        <v>7324</v>
      </c>
      <c r="X414" s="1">
        <v>200.0</v>
      </c>
      <c r="AA414" s="1" t="s">
        <v>258</v>
      </c>
      <c r="AG414" s="5">
        <v>44153.0</v>
      </c>
    </row>
    <row r="415">
      <c r="A415" s="1">
        <v>198657.0</v>
      </c>
      <c r="B415" s="1">
        <v>1.0</v>
      </c>
      <c r="C415" s="1" t="s">
        <v>7341</v>
      </c>
      <c r="D415" s="1" t="s">
        <v>5068</v>
      </c>
      <c r="F415" s="1" t="s">
        <v>7342</v>
      </c>
      <c r="G415" s="1" t="s">
        <v>26</v>
      </c>
      <c r="H415" s="1" t="s">
        <v>5102</v>
      </c>
      <c r="I415" s="1" t="s">
        <v>18</v>
      </c>
      <c r="J415" s="1" t="s">
        <v>53</v>
      </c>
      <c r="K415" s="6" t="s">
        <v>7343</v>
      </c>
      <c r="L415" s="6" t="s">
        <v>7344</v>
      </c>
      <c r="M415" s="1" t="s">
        <v>5125</v>
      </c>
      <c r="O415" s="5">
        <v>35796.0</v>
      </c>
      <c r="R415" s="1" t="b">
        <v>0</v>
      </c>
      <c r="T415" s="1">
        <v>198653.0</v>
      </c>
      <c r="U415" s="1" t="b">
        <v>0</v>
      </c>
      <c r="V415" s="1" t="s">
        <v>7345</v>
      </c>
      <c r="W415" s="1" t="s">
        <v>7346</v>
      </c>
      <c r="X415" s="1">
        <v>200.0</v>
      </c>
      <c r="Y415" s="1" t="s">
        <v>5075</v>
      </c>
      <c r="Z415" s="1" t="s">
        <v>87</v>
      </c>
      <c r="AC415" s="1" t="s">
        <v>5077</v>
      </c>
      <c r="AD415" s="1" t="s">
        <v>5093</v>
      </c>
      <c r="AE415" s="6" t="s">
        <v>7347</v>
      </c>
      <c r="AG415" s="5">
        <v>43510.0</v>
      </c>
      <c r="AH415" s="1">
        <v>314952.0</v>
      </c>
    </row>
    <row r="416">
      <c r="A416" s="1">
        <v>198716.0</v>
      </c>
      <c r="B416" s="1">
        <v>0.0</v>
      </c>
      <c r="C416" s="1" t="s">
        <v>641</v>
      </c>
      <c r="D416" s="1" t="s">
        <v>5068</v>
      </c>
      <c r="E416" s="5">
        <v>44632.0</v>
      </c>
      <c r="F416" s="1" t="s">
        <v>642</v>
      </c>
      <c r="G416" s="1" t="s">
        <v>26</v>
      </c>
      <c r="H416" s="1" t="s">
        <v>5102</v>
      </c>
      <c r="I416" s="1" t="s">
        <v>18</v>
      </c>
      <c r="J416" s="1" t="s">
        <v>202</v>
      </c>
      <c r="K416" s="6" t="s">
        <v>7348</v>
      </c>
      <c r="L416" s="6" t="s">
        <v>7349</v>
      </c>
      <c r="M416" s="1" t="s">
        <v>7350</v>
      </c>
      <c r="O416" s="5">
        <v>43348.0</v>
      </c>
      <c r="P416" s="5">
        <v>43363.0</v>
      </c>
      <c r="R416" s="1" t="b">
        <v>0</v>
      </c>
      <c r="T416" s="1">
        <v>179776.0</v>
      </c>
      <c r="U416" s="1" t="b">
        <v>1</v>
      </c>
      <c r="V416" s="1" t="s">
        <v>7351</v>
      </c>
      <c r="W416" s="1" t="s">
        <v>7352</v>
      </c>
      <c r="X416" s="1">
        <v>200.0</v>
      </c>
      <c r="Y416" s="1" t="s">
        <v>5075</v>
      </c>
      <c r="Z416" s="1" t="s">
        <v>482</v>
      </c>
      <c r="AC416" s="1" t="s">
        <v>5077</v>
      </c>
      <c r="AD416" s="1" t="s">
        <v>5093</v>
      </c>
      <c r="AG416" s="5">
        <v>43511.0</v>
      </c>
      <c r="AH416" s="1">
        <v>355330.0</v>
      </c>
    </row>
    <row r="417">
      <c r="A417" s="1">
        <v>198717.0</v>
      </c>
      <c r="B417" s="1">
        <v>0.0</v>
      </c>
      <c r="C417" s="1" t="s">
        <v>7353</v>
      </c>
      <c r="D417" s="1" t="s">
        <v>5081</v>
      </c>
      <c r="E417" s="5">
        <v>44632.0</v>
      </c>
      <c r="F417" s="1" t="s">
        <v>7354</v>
      </c>
      <c r="G417" s="1" t="s">
        <v>26</v>
      </c>
      <c r="H417" s="1" t="s">
        <v>5102</v>
      </c>
      <c r="I417" s="1" t="s">
        <v>18</v>
      </c>
      <c r="J417" s="1" t="s">
        <v>202</v>
      </c>
      <c r="K417" s="6" t="s">
        <v>7355</v>
      </c>
      <c r="L417" s="6" t="s">
        <v>7356</v>
      </c>
      <c r="M417" s="1" t="s">
        <v>7357</v>
      </c>
      <c r="O417" s="5">
        <v>43348.0</v>
      </c>
      <c r="P417" s="5">
        <v>43363.0</v>
      </c>
      <c r="R417" s="1" t="b">
        <v>0</v>
      </c>
      <c r="T417" s="1">
        <v>179776.0</v>
      </c>
      <c r="U417" s="1" t="b">
        <v>1</v>
      </c>
      <c r="V417" s="1" t="s">
        <v>7351</v>
      </c>
      <c r="W417" s="1" t="s">
        <v>7352</v>
      </c>
      <c r="X417" s="1">
        <v>200.0</v>
      </c>
      <c r="Z417" s="1" t="s">
        <v>482</v>
      </c>
      <c r="AA417" s="1" t="s">
        <v>642</v>
      </c>
      <c r="AG417" s="5">
        <v>43511.0</v>
      </c>
    </row>
    <row r="418">
      <c r="A418" s="1">
        <v>198718.0</v>
      </c>
      <c r="B418" s="1">
        <v>0.0</v>
      </c>
      <c r="C418" s="1" t="s">
        <v>646</v>
      </c>
      <c r="D418" s="1" t="s">
        <v>5068</v>
      </c>
      <c r="E418" s="5">
        <v>44632.0</v>
      </c>
      <c r="F418" s="1" t="s">
        <v>647</v>
      </c>
      <c r="G418" s="1" t="s">
        <v>26</v>
      </c>
      <c r="H418" s="1" t="s">
        <v>5102</v>
      </c>
      <c r="I418" s="1" t="s">
        <v>18</v>
      </c>
      <c r="J418" s="1" t="s">
        <v>202</v>
      </c>
      <c r="K418" s="6" t="s">
        <v>7358</v>
      </c>
      <c r="L418" s="6" t="s">
        <v>7359</v>
      </c>
      <c r="M418" s="1" t="s">
        <v>7360</v>
      </c>
      <c r="O418" s="5">
        <v>43348.0</v>
      </c>
      <c r="P418" s="5">
        <v>43363.0</v>
      </c>
      <c r="R418" s="1" t="b">
        <v>0</v>
      </c>
      <c r="T418" s="1">
        <v>179776.0</v>
      </c>
      <c r="U418" s="1" t="b">
        <v>0</v>
      </c>
      <c r="V418" s="1" t="s">
        <v>7361</v>
      </c>
      <c r="W418" s="1" t="s">
        <v>7362</v>
      </c>
      <c r="X418" s="1">
        <v>200.0</v>
      </c>
      <c r="Y418" s="1" t="s">
        <v>5075</v>
      </c>
      <c r="Z418" s="1" t="s">
        <v>482</v>
      </c>
      <c r="AC418" s="1" t="s">
        <v>5077</v>
      </c>
      <c r="AD418" s="1" t="s">
        <v>5093</v>
      </c>
      <c r="AG418" s="5">
        <v>43511.0</v>
      </c>
      <c r="AH418" s="1">
        <v>355336.0</v>
      </c>
    </row>
    <row r="419">
      <c r="A419" s="1">
        <v>198719.0</v>
      </c>
      <c r="B419" s="1">
        <v>0.0</v>
      </c>
      <c r="C419" s="1" t="s">
        <v>7363</v>
      </c>
      <c r="D419" s="1" t="s">
        <v>5081</v>
      </c>
      <c r="E419" s="5">
        <v>44632.0</v>
      </c>
      <c r="F419" s="1" t="s">
        <v>7364</v>
      </c>
      <c r="G419" s="1" t="s">
        <v>26</v>
      </c>
      <c r="H419" s="1" t="s">
        <v>5102</v>
      </c>
      <c r="I419" s="1" t="s">
        <v>18</v>
      </c>
      <c r="J419" s="1" t="s">
        <v>202</v>
      </c>
      <c r="K419" s="6" t="s">
        <v>7365</v>
      </c>
      <c r="L419" s="6" t="s">
        <v>7366</v>
      </c>
      <c r="M419" s="1" t="s">
        <v>7367</v>
      </c>
      <c r="O419" s="5">
        <v>43348.0</v>
      </c>
      <c r="P419" s="5">
        <v>43363.0</v>
      </c>
      <c r="R419" s="1" t="b">
        <v>0</v>
      </c>
      <c r="T419" s="1">
        <v>179776.0</v>
      </c>
      <c r="U419" s="1" t="b">
        <v>1</v>
      </c>
      <c r="V419" s="1" t="s">
        <v>7361</v>
      </c>
      <c r="W419" s="1" t="s">
        <v>7362</v>
      </c>
      <c r="X419" s="1">
        <v>200.0</v>
      </c>
      <c r="Z419" s="1" t="s">
        <v>482</v>
      </c>
      <c r="AA419" s="1" t="s">
        <v>647</v>
      </c>
      <c r="AG419" s="5">
        <v>43511.0</v>
      </c>
    </row>
    <row r="420">
      <c r="A420" s="1">
        <v>198729.0</v>
      </c>
      <c r="B420" s="1">
        <v>0.0</v>
      </c>
      <c r="C420" s="1" t="s">
        <v>7368</v>
      </c>
      <c r="D420" s="1" t="s">
        <v>5068</v>
      </c>
      <c r="E420" s="5">
        <v>44901.0</v>
      </c>
      <c r="F420" s="1" t="s">
        <v>7369</v>
      </c>
      <c r="G420" s="1" t="s">
        <v>7370</v>
      </c>
      <c r="H420" s="1" t="s">
        <v>5102</v>
      </c>
      <c r="I420" s="1" t="s">
        <v>18</v>
      </c>
      <c r="J420" s="1" t="s">
        <v>24</v>
      </c>
      <c r="K420" s="6" t="s">
        <v>7371</v>
      </c>
      <c r="L420" s="6" t="s">
        <v>7372</v>
      </c>
      <c r="M420" s="1" t="s">
        <v>5125</v>
      </c>
      <c r="O420" s="5">
        <v>31413.0</v>
      </c>
      <c r="R420" s="1" t="b">
        <v>0</v>
      </c>
      <c r="T420" s="1">
        <v>198720.0</v>
      </c>
      <c r="U420" s="1" t="b">
        <v>0</v>
      </c>
      <c r="V420" s="1" t="s">
        <v>6639</v>
      </c>
      <c r="W420" s="1" t="s">
        <v>7373</v>
      </c>
      <c r="X420" s="1">
        <v>200.0</v>
      </c>
      <c r="Z420" s="1" t="s">
        <v>7374</v>
      </c>
      <c r="AG420" s="5">
        <v>43511.0</v>
      </c>
    </row>
    <row r="421">
      <c r="A421" s="1">
        <v>198760.0</v>
      </c>
      <c r="B421" s="1">
        <v>0.0</v>
      </c>
      <c r="C421" s="1" t="s">
        <v>7375</v>
      </c>
      <c r="D421" s="1" t="s">
        <v>5068</v>
      </c>
      <c r="E421" s="5">
        <v>43496.0</v>
      </c>
      <c r="F421" s="1" t="s">
        <v>7376</v>
      </c>
      <c r="G421" s="1" t="s">
        <v>26</v>
      </c>
      <c r="H421" s="1" t="s">
        <v>5116</v>
      </c>
      <c r="I421" s="1" t="s">
        <v>356</v>
      </c>
      <c r="J421" s="1" t="s">
        <v>21</v>
      </c>
      <c r="K421" s="1" t="s">
        <v>5072</v>
      </c>
      <c r="L421" s="6" t="s">
        <v>7377</v>
      </c>
      <c r="M421" s="1" t="s">
        <v>7378</v>
      </c>
      <c r="Q421" s="5">
        <v>43496.0</v>
      </c>
      <c r="R421" s="1" t="b">
        <v>0</v>
      </c>
      <c r="U421" s="1" t="b">
        <v>0</v>
      </c>
      <c r="V421" s="1" t="s">
        <v>7379</v>
      </c>
      <c r="AG421" s="5">
        <v>43511.0</v>
      </c>
    </row>
    <row r="422">
      <c r="A422" s="1">
        <v>198764.0</v>
      </c>
      <c r="B422" s="1">
        <v>0.0</v>
      </c>
      <c r="C422" s="1" t="s">
        <v>7380</v>
      </c>
      <c r="D422" s="1" t="s">
        <v>5068</v>
      </c>
      <c r="E422" s="5">
        <v>44409.0</v>
      </c>
      <c r="F422" s="1" t="s">
        <v>7381</v>
      </c>
      <c r="G422" s="1" t="s">
        <v>26</v>
      </c>
      <c r="H422" s="1" t="s">
        <v>5116</v>
      </c>
      <c r="I422" s="1" t="s">
        <v>18</v>
      </c>
      <c r="J422" s="1" t="s">
        <v>5071</v>
      </c>
      <c r="K422" s="1" t="s">
        <v>5072</v>
      </c>
      <c r="L422" s="6" t="s">
        <v>7382</v>
      </c>
      <c r="M422" s="1" t="s">
        <v>7383</v>
      </c>
      <c r="R422" s="1" t="b">
        <v>0</v>
      </c>
      <c r="U422" s="1" t="b">
        <v>0</v>
      </c>
      <c r="V422" s="1" t="s">
        <v>7324</v>
      </c>
      <c r="X422" s="1">
        <v>200.0</v>
      </c>
      <c r="AG422" s="5">
        <v>43511.0</v>
      </c>
    </row>
    <row r="423">
      <c r="A423" s="1">
        <v>439537.0</v>
      </c>
      <c r="B423" s="1">
        <v>0.0</v>
      </c>
      <c r="C423" s="1" t="s">
        <v>7384</v>
      </c>
      <c r="D423" s="1" t="s">
        <v>5081</v>
      </c>
      <c r="E423" s="5">
        <v>44409.0</v>
      </c>
      <c r="F423" s="6" t="s">
        <v>7385</v>
      </c>
      <c r="G423" s="1" t="s">
        <v>26</v>
      </c>
      <c r="H423" s="1" t="s">
        <v>5116</v>
      </c>
      <c r="I423" s="1" t="s">
        <v>18</v>
      </c>
      <c r="J423" s="1" t="s">
        <v>5071</v>
      </c>
      <c r="K423" s="6" t="s">
        <v>7386</v>
      </c>
      <c r="L423" s="6" t="s">
        <v>7387</v>
      </c>
      <c r="M423" s="1" t="s">
        <v>5125</v>
      </c>
      <c r="R423" s="1" t="b">
        <v>0</v>
      </c>
      <c r="U423" s="1" t="b">
        <v>0</v>
      </c>
      <c r="V423" s="1" t="s">
        <v>7324</v>
      </c>
      <c r="X423" s="1">
        <v>200.0</v>
      </c>
      <c r="AA423" s="1" t="s">
        <v>7381</v>
      </c>
      <c r="AG423" s="5">
        <v>44398.0</v>
      </c>
    </row>
    <row r="424">
      <c r="A424" s="1">
        <v>198765.0</v>
      </c>
      <c r="B424" s="1">
        <v>0.0</v>
      </c>
      <c r="C424" s="1" t="s">
        <v>252</v>
      </c>
      <c r="D424" s="1" t="s">
        <v>5068</v>
      </c>
      <c r="E424" s="5">
        <v>44789.0</v>
      </c>
      <c r="F424" s="1" t="s">
        <v>253</v>
      </c>
      <c r="G424" s="1" t="s">
        <v>26</v>
      </c>
      <c r="H424" s="1" t="s">
        <v>5116</v>
      </c>
      <c r="I424" s="1" t="s">
        <v>18</v>
      </c>
      <c r="J424" s="1" t="s">
        <v>5071</v>
      </c>
      <c r="K424" s="1" t="s">
        <v>5072</v>
      </c>
      <c r="L424" s="6" t="s">
        <v>7388</v>
      </c>
      <c r="M424" s="1" t="s">
        <v>7389</v>
      </c>
      <c r="R424" s="1" t="b">
        <v>0</v>
      </c>
      <c r="U424" s="1" t="b">
        <v>0</v>
      </c>
      <c r="V424" s="1" t="s">
        <v>7324</v>
      </c>
      <c r="X424" s="1">
        <v>200.0</v>
      </c>
      <c r="Y424" s="1" t="s">
        <v>5075</v>
      </c>
      <c r="AG424" s="5">
        <v>43511.0</v>
      </c>
    </row>
    <row r="425">
      <c r="A425" s="1">
        <v>439538.0</v>
      </c>
      <c r="B425" s="1">
        <v>0.0</v>
      </c>
      <c r="C425" s="1" t="s">
        <v>7390</v>
      </c>
      <c r="D425" s="1" t="s">
        <v>5081</v>
      </c>
      <c r="E425" s="5">
        <v>44789.0</v>
      </c>
      <c r="F425" s="6" t="s">
        <v>7391</v>
      </c>
      <c r="G425" s="1" t="s">
        <v>26</v>
      </c>
      <c r="H425" s="1" t="s">
        <v>5116</v>
      </c>
      <c r="I425" s="1" t="s">
        <v>18</v>
      </c>
      <c r="J425" s="1" t="s">
        <v>5071</v>
      </c>
      <c r="K425" s="6" t="s">
        <v>7392</v>
      </c>
      <c r="L425" s="6" t="s">
        <v>7393</v>
      </c>
      <c r="M425" s="1" t="s">
        <v>5125</v>
      </c>
      <c r="R425" s="1" t="b">
        <v>0</v>
      </c>
      <c r="U425" s="1" t="b">
        <v>0</v>
      </c>
      <c r="V425" s="1" t="s">
        <v>7324</v>
      </c>
      <c r="X425" s="1">
        <v>200.0</v>
      </c>
      <c r="AA425" s="1" t="s">
        <v>253</v>
      </c>
      <c r="AG425" s="5">
        <v>44398.0</v>
      </c>
    </row>
    <row r="426">
      <c r="A426" s="1">
        <v>198962.0</v>
      </c>
      <c r="B426" s="1">
        <v>0.0</v>
      </c>
      <c r="C426" s="1" t="s">
        <v>650</v>
      </c>
      <c r="D426" s="1" t="s">
        <v>5068</v>
      </c>
      <c r="E426" s="5">
        <v>44632.0</v>
      </c>
      <c r="F426" s="1" t="s">
        <v>651</v>
      </c>
      <c r="G426" s="1" t="s">
        <v>26</v>
      </c>
      <c r="H426" s="1" t="s">
        <v>5102</v>
      </c>
      <c r="I426" s="1" t="s">
        <v>18</v>
      </c>
      <c r="J426" s="1" t="s">
        <v>202</v>
      </c>
      <c r="K426" s="6" t="s">
        <v>7394</v>
      </c>
      <c r="L426" s="6" t="s">
        <v>7395</v>
      </c>
      <c r="M426" s="1" t="s">
        <v>7396</v>
      </c>
      <c r="O426" s="5">
        <v>43348.0</v>
      </c>
      <c r="P426" s="5">
        <v>43363.0</v>
      </c>
      <c r="R426" s="1" t="b">
        <v>0</v>
      </c>
      <c r="T426" s="1">
        <v>179776.0</v>
      </c>
      <c r="U426" s="1" t="b">
        <v>0</v>
      </c>
      <c r="V426" s="1" t="s">
        <v>7397</v>
      </c>
      <c r="W426" s="1" t="s">
        <v>7398</v>
      </c>
      <c r="X426" s="1">
        <v>200.0</v>
      </c>
      <c r="Y426" s="1" t="s">
        <v>5075</v>
      </c>
      <c r="Z426" s="1" t="s">
        <v>482</v>
      </c>
      <c r="AC426" s="1" t="s">
        <v>5077</v>
      </c>
      <c r="AD426" s="1" t="s">
        <v>5093</v>
      </c>
      <c r="AG426" s="5">
        <v>43517.0</v>
      </c>
      <c r="AH426" s="1">
        <v>355344.0</v>
      </c>
    </row>
    <row r="427">
      <c r="A427" s="1">
        <v>198963.0</v>
      </c>
      <c r="B427" s="1">
        <v>0.0</v>
      </c>
      <c r="C427" s="1" t="s">
        <v>7399</v>
      </c>
      <c r="D427" s="1" t="s">
        <v>5081</v>
      </c>
      <c r="E427" s="5">
        <v>44632.0</v>
      </c>
      <c r="F427" s="1" t="s">
        <v>7400</v>
      </c>
      <c r="G427" s="1" t="s">
        <v>26</v>
      </c>
      <c r="H427" s="1" t="s">
        <v>5102</v>
      </c>
      <c r="I427" s="1" t="s">
        <v>18</v>
      </c>
      <c r="J427" s="1" t="s">
        <v>202</v>
      </c>
      <c r="K427" s="6" t="s">
        <v>7401</v>
      </c>
      <c r="L427" s="6" t="s">
        <v>7402</v>
      </c>
      <c r="M427" s="1" t="s">
        <v>7403</v>
      </c>
      <c r="O427" s="5">
        <v>43348.0</v>
      </c>
      <c r="P427" s="5">
        <v>43363.0</v>
      </c>
      <c r="R427" s="1" t="b">
        <v>0</v>
      </c>
      <c r="T427" s="1">
        <v>179776.0</v>
      </c>
      <c r="U427" s="1" t="b">
        <v>1</v>
      </c>
      <c r="V427" s="1" t="s">
        <v>7397</v>
      </c>
      <c r="W427" s="1" t="s">
        <v>7398</v>
      </c>
      <c r="X427" s="1">
        <v>200.0</v>
      </c>
      <c r="Z427" s="1" t="s">
        <v>482</v>
      </c>
      <c r="AA427" s="1" t="s">
        <v>651</v>
      </c>
      <c r="AG427" s="5">
        <v>43517.0</v>
      </c>
    </row>
    <row r="428">
      <c r="A428" s="1">
        <v>202392.0</v>
      </c>
      <c r="B428" s="1">
        <v>0.0</v>
      </c>
      <c r="C428" s="1" t="s">
        <v>7404</v>
      </c>
      <c r="D428" s="1" t="s">
        <v>5068</v>
      </c>
      <c r="F428" s="1" t="s">
        <v>7405</v>
      </c>
      <c r="G428" s="1" t="s">
        <v>5122</v>
      </c>
      <c r="H428" s="1" t="s">
        <v>5102</v>
      </c>
      <c r="I428" s="1" t="s">
        <v>18</v>
      </c>
      <c r="J428" s="1" t="s">
        <v>5149</v>
      </c>
      <c r="K428" s="6" t="s">
        <v>7406</v>
      </c>
      <c r="L428" s="6" t="s">
        <v>7407</v>
      </c>
      <c r="M428" s="1" t="s">
        <v>7408</v>
      </c>
      <c r="O428" s="5">
        <v>42426.0</v>
      </c>
      <c r="R428" s="1" t="b">
        <v>0</v>
      </c>
      <c r="T428" s="1">
        <v>296.0</v>
      </c>
      <c r="U428" s="1" t="b">
        <v>0</v>
      </c>
      <c r="V428" s="1" t="s">
        <v>5306</v>
      </c>
      <c r="W428" s="1" t="s">
        <v>6168</v>
      </c>
      <c r="X428" s="1">
        <v>200.0</v>
      </c>
      <c r="Y428" s="1" t="s">
        <v>5075</v>
      </c>
      <c r="Z428" s="1" t="s">
        <v>1357</v>
      </c>
      <c r="AB428" s="1" t="s">
        <v>5453</v>
      </c>
      <c r="AG428" s="5">
        <v>43546.0</v>
      </c>
    </row>
    <row r="429">
      <c r="A429" s="1">
        <v>202396.0</v>
      </c>
      <c r="B429" s="1">
        <v>0.0</v>
      </c>
      <c r="C429" s="1" t="s">
        <v>7409</v>
      </c>
      <c r="D429" s="1" t="s">
        <v>5068</v>
      </c>
      <c r="E429" s="5">
        <v>43981.0</v>
      </c>
      <c r="F429" s="1" t="s">
        <v>7410</v>
      </c>
      <c r="G429" s="1" t="s">
        <v>26</v>
      </c>
      <c r="H429" s="1" t="s">
        <v>5102</v>
      </c>
      <c r="I429" s="1" t="s">
        <v>18</v>
      </c>
      <c r="J429" s="1" t="s">
        <v>21</v>
      </c>
      <c r="K429" s="6" t="s">
        <v>7411</v>
      </c>
      <c r="L429" s="6" t="s">
        <v>7412</v>
      </c>
      <c r="M429" s="1" t="s">
        <v>7413</v>
      </c>
      <c r="O429" s="5">
        <v>39448.0</v>
      </c>
      <c r="P429" s="5">
        <v>39814.0</v>
      </c>
      <c r="R429" s="1" t="b">
        <v>0</v>
      </c>
      <c r="T429" s="1">
        <v>190.0</v>
      </c>
      <c r="U429" s="1" t="b">
        <v>0</v>
      </c>
      <c r="V429" s="1" t="s">
        <v>5153</v>
      </c>
      <c r="W429" s="1" t="s">
        <v>7414</v>
      </c>
      <c r="X429" s="1">
        <v>200.0</v>
      </c>
      <c r="Y429" s="1" t="s">
        <v>5075</v>
      </c>
      <c r="Z429" s="1" t="s">
        <v>3999</v>
      </c>
      <c r="AC429" s="1" t="s">
        <v>5077</v>
      </c>
      <c r="AD429" s="1" t="s">
        <v>5093</v>
      </c>
      <c r="AE429" s="6" t="s">
        <v>7415</v>
      </c>
      <c r="AF429" s="6" t="s">
        <v>7416</v>
      </c>
      <c r="AG429" s="5">
        <v>43549.0</v>
      </c>
      <c r="AH429" s="1">
        <v>186221.0</v>
      </c>
    </row>
    <row r="430">
      <c r="A430" s="1">
        <v>202397.0</v>
      </c>
      <c r="B430" s="1">
        <v>0.0</v>
      </c>
      <c r="C430" s="1" t="s">
        <v>7409</v>
      </c>
      <c r="D430" s="1" t="s">
        <v>5068</v>
      </c>
      <c r="E430" s="5">
        <v>43981.0</v>
      </c>
      <c r="F430" s="1" t="s">
        <v>7417</v>
      </c>
      <c r="G430" s="1" t="s">
        <v>26</v>
      </c>
      <c r="H430" s="1" t="s">
        <v>5102</v>
      </c>
      <c r="I430" s="1" t="s">
        <v>18</v>
      </c>
      <c r="J430" s="1" t="s">
        <v>21</v>
      </c>
      <c r="K430" s="1" t="s">
        <v>5072</v>
      </c>
      <c r="L430" s="6" t="s">
        <v>7418</v>
      </c>
      <c r="M430" s="1" t="s">
        <v>7419</v>
      </c>
      <c r="O430" s="5">
        <v>42370.0</v>
      </c>
      <c r="P430" s="5">
        <v>42564.0</v>
      </c>
      <c r="R430" s="1" t="b">
        <v>0</v>
      </c>
      <c r="T430" s="1">
        <v>190.0</v>
      </c>
      <c r="U430" s="1" t="b">
        <v>0</v>
      </c>
      <c r="V430" s="1" t="s">
        <v>6125</v>
      </c>
      <c r="X430" s="1">
        <v>408.0</v>
      </c>
      <c r="Y430" s="1" t="s">
        <v>5075</v>
      </c>
      <c r="Z430" s="1" t="s">
        <v>3999</v>
      </c>
      <c r="AE430" s="6" t="s">
        <v>7420</v>
      </c>
      <c r="AF430" s="6" t="s">
        <v>7421</v>
      </c>
      <c r="AG430" s="5">
        <v>43549.0</v>
      </c>
    </row>
    <row r="431">
      <c r="A431" s="1">
        <v>202779.0</v>
      </c>
      <c r="B431" s="1">
        <v>0.0</v>
      </c>
      <c r="C431" s="1" t="s">
        <v>7422</v>
      </c>
      <c r="D431" s="1" t="s">
        <v>5068</v>
      </c>
      <c r="E431" s="5">
        <v>44278.0</v>
      </c>
      <c r="F431" s="1" t="s">
        <v>7423</v>
      </c>
      <c r="G431" s="1" t="s">
        <v>7424</v>
      </c>
      <c r="H431" s="1" t="s">
        <v>5116</v>
      </c>
      <c r="I431" s="1" t="s">
        <v>18</v>
      </c>
      <c r="J431" s="1" t="s">
        <v>5071</v>
      </c>
      <c r="K431" s="6" t="s">
        <v>7425</v>
      </c>
      <c r="L431" s="6" t="s">
        <v>7426</v>
      </c>
      <c r="M431" s="1" t="s">
        <v>7427</v>
      </c>
      <c r="R431" s="1" t="b">
        <v>0</v>
      </c>
      <c r="U431" s="1" t="b">
        <v>0</v>
      </c>
      <c r="V431" s="1" t="s">
        <v>7428</v>
      </c>
      <c r="W431" s="1" t="s">
        <v>7429</v>
      </c>
      <c r="X431" s="1">
        <v>200.0</v>
      </c>
      <c r="Y431" s="1" t="s">
        <v>5075</v>
      </c>
      <c r="AB431" s="1" t="s">
        <v>7430</v>
      </c>
      <c r="AG431" s="5">
        <v>43553.0</v>
      </c>
    </row>
    <row r="432">
      <c r="A432" s="1">
        <v>202780.0</v>
      </c>
      <c r="B432" s="1">
        <v>0.0</v>
      </c>
      <c r="C432" s="1" t="s">
        <v>7431</v>
      </c>
      <c r="D432" s="1" t="s">
        <v>5081</v>
      </c>
      <c r="E432" s="5">
        <v>44278.0</v>
      </c>
      <c r="F432" s="1" t="s">
        <v>7432</v>
      </c>
      <c r="G432" s="1" t="s">
        <v>7424</v>
      </c>
      <c r="H432" s="1" t="s">
        <v>5116</v>
      </c>
      <c r="I432" s="1" t="s">
        <v>18</v>
      </c>
      <c r="J432" s="1" t="s">
        <v>5071</v>
      </c>
      <c r="K432" s="6" t="s">
        <v>7433</v>
      </c>
      <c r="L432" s="6" t="s">
        <v>7434</v>
      </c>
      <c r="M432" s="1" t="s">
        <v>7435</v>
      </c>
      <c r="R432" s="1" t="b">
        <v>0</v>
      </c>
      <c r="U432" s="1" t="b">
        <v>1</v>
      </c>
      <c r="V432" s="1" t="s">
        <v>7428</v>
      </c>
      <c r="W432" s="1" t="s">
        <v>7429</v>
      </c>
      <c r="X432" s="1">
        <v>200.0</v>
      </c>
      <c r="Y432" s="1" t="s">
        <v>5075</v>
      </c>
      <c r="AA432" s="1" t="s">
        <v>7423</v>
      </c>
      <c r="AB432" s="1" t="s">
        <v>7436</v>
      </c>
      <c r="AG432" s="5">
        <v>43553.0</v>
      </c>
    </row>
    <row r="433">
      <c r="A433" s="1">
        <v>205251.0</v>
      </c>
      <c r="B433" s="1">
        <v>0.0</v>
      </c>
      <c r="C433" s="1" t="s">
        <v>7437</v>
      </c>
      <c r="D433" s="1" t="s">
        <v>5068</v>
      </c>
      <c r="E433" s="5">
        <v>43766.0</v>
      </c>
      <c r="F433" s="1" t="s">
        <v>7438</v>
      </c>
      <c r="G433" s="1" t="s">
        <v>26</v>
      </c>
      <c r="H433" s="1" t="s">
        <v>5102</v>
      </c>
      <c r="I433" s="1" t="s">
        <v>18</v>
      </c>
      <c r="J433" s="1" t="s">
        <v>24</v>
      </c>
      <c r="K433" s="6" t="s">
        <v>7439</v>
      </c>
      <c r="L433" s="6" t="s">
        <v>7440</v>
      </c>
      <c r="M433" s="1" t="s">
        <v>5125</v>
      </c>
      <c r="O433" s="5">
        <v>35431.0</v>
      </c>
      <c r="R433" s="1" t="b">
        <v>0</v>
      </c>
      <c r="T433" s="1">
        <v>59.0</v>
      </c>
      <c r="U433" s="1" t="b">
        <v>0</v>
      </c>
      <c r="V433" s="1" t="s">
        <v>7441</v>
      </c>
      <c r="W433" s="1" t="s">
        <v>7442</v>
      </c>
      <c r="X433" s="1">
        <v>200.0</v>
      </c>
      <c r="Z433" s="1" t="s">
        <v>3707</v>
      </c>
      <c r="AG433" s="5">
        <v>43574.0</v>
      </c>
    </row>
    <row r="434">
      <c r="A434" s="1">
        <v>206629.0</v>
      </c>
      <c r="B434" s="1">
        <v>0.0</v>
      </c>
      <c r="C434" s="1" t="s">
        <v>7443</v>
      </c>
      <c r="D434" s="1" t="s">
        <v>5068</v>
      </c>
      <c r="E434" s="5">
        <v>44350.0</v>
      </c>
      <c r="F434" s="1" t="s">
        <v>7444</v>
      </c>
      <c r="G434" s="1" t="s">
        <v>5368</v>
      </c>
      <c r="H434" s="1" t="s">
        <v>5102</v>
      </c>
      <c r="I434" s="1" t="s">
        <v>18</v>
      </c>
      <c r="J434" s="1" t="s">
        <v>5071</v>
      </c>
      <c r="K434" s="1" t="s">
        <v>5072</v>
      </c>
      <c r="L434" s="6" t="s">
        <v>7445</v>
      </c>
      <c r="M434" s="1" t="s">
        <v>5125</v>
      </c>
      <c r="O434" s="5">
        <v>41809.0</v>
      </c>
      <c r="R434" s="1" t="b">
        <v>0</v>
      </c>
      <c r="U434" s="1" t="b">
        <v>0</v>
      </c>
      <c r="V434" s="1" t="s">
        <v>7446</v>
      </c>
      <c r="X434" s="1">
        <v>408.0</v>
      </c>
      <c r="Y434" s="1" t="s">
        <v>5075</v>
      </c>
      <c r="AG434" s="5">
        <v>43591.0</v>
      </c>
    </row>
    <row r="435">
      <c r="A435" s="1">
        <v>206630.0</v>
      </c>
      <c r="B435" s="1">
        <v>0.0</v>
      </c>
      <c r="C435" s="1" t="s">
        <v>7447</v>
      </c>
      <c r="D435" s="1" t="s">
        <v>5081</v>
      </c>
      <c r="E435" s="5">
        <v>44350.0</v>
      </c>
      <c r="F435" s="1" t="s">
        <v>7448</v>
      </c>
      <c r="G435" s="1" t="s">
        <v>5368</v>
      </c>
      <c r="H435" s="1" t="s">
        <v>5102</v>
      </c>
      <c r="I435" s="1" t="s">
        <v>18</v>
      </c>
      <c r="J435" s="1" t="s">
        <v>5071</v>
      </c>
      <c r="K435" s="6" t="s">
        <v>7449</v>
      </c>
      <c r="L435" s="6" t="s">
        <v>7450</v>
      </c>
      <c r="M435" s="1" t="s">
        <v>5125</v>
      </c>
      <c r="O435" s="5">
        <v>41809.0</v>
      </c>
      <c r="R435" s="1" t="b">
        <v>0</v>
      </c>
      <c r="U435" s="1" t="b">
        <v>0</v>
      </c>
      <c r="V435" s="1" t="s">
        <v>7446</v>
      </c>
      <c r="X435" s="1">
        <v>200.0</v>
      </c>
      <c r="AA435" s="1" t="s">
        <v>7444</v>
      </c>
      <c r="AG435" s="5">
        <v>43591.0</v>
      </c>
    </row>
    <row r="436">
      <c r="A436" s="1">
        <v>206631.0</v>
      </c>
      <c r="B436" s="1">
        <v>0.0</v>
      </c>
      <c r="C436" s="1" t="s">
        <v>7451</v>
      </c>
      <c r="D436" s="1" t="s">
        <v>5068</v>
      </c>
      <c r="F436" s="1" t="s">
        <v>7452</v>
      </c>
      <c r="G436" s="1" t="s">
        <v>26</v>
      </c>
      <c r="H436" s="1" t="s">
        <v>5102</v>
      </c>
      <c r="I436" s="1" t="s">
        <v>18</v>
      </c>
      <c r="J436" s="1" t="s">
        <v>5071</v>
      </c>
      <c r="K436" s="6" t="s">
        <v>7453</v>
      </c>
      <c r="L436" s="6" t="s">
        <v>7454</v>
      </c>
      <c r="M436" s="1" t="s">
        <v>5125</v>
      </c>
      <c r="O436" s="5">
        <v>42173.0</v>
      </c>
      <c r="P436" s="5">
        <v>42539.0</v>
      </c>
      <c r="R436" s="1" t="b">
        <v>0</v>
      </c>
      <c r="U436" s="1" t="b">
        <v>0</v>
      </c>
      <c r="V436" s="1" t="s">
        <v>7455</v>
      </c>
      <c r="W436" s="1" t="s">
        <v>7456</v>
      </c>
      <c r="X436" s="1">
        <v>200.0</v>
      </c>
      <c r="Y436" s="1" t="s">
        <v>5075</v>
      </c>
      <c r="AG436" s="5">
        <v>43591.0</v>
      </c>
    </row>
    <row r="437">
      <c r="A437" s="1">
        <v>206632.0</v>
      </c>
      <c r="B437" s="1">
        <v>0.0</v>
      </c>
      <c r="C437" s="1" t="s">
        <v>7457</v>
      </c>
      <c r="D437" s="1" t="s">
        <v>5081</v>
      </c>
      <c r="F437" s="1" t="s">
        <v>7458</v>
      </c>
      <c r="G437" s="1" t="s">
        <v>26</v>
      </c>
      <c r="H437" s="1" t="s">
        <v>5102</v>
      </c>
      <c r="I437" s="1" t="s">
        <v>18</v>
      </c>
      <c r="J437" s="1" t="s">
        <v>5071</v>
      </c>
      <c r="K437" s="6" t="s">
        <v>7459</v>
      </c>
      <c r="L437" s="6" t="s">
        <v>7460</v>
      </c>
      <c r="M437" s="1" t="s">
        <v>5125</v>
      </c>
      <c r="O437" s="5">
        <v>42173.0</v>
      </c>
      <c r="P437" s="5">
        <v>42539.0</v>
      </c>
      <c r="R437" s="1" t="b">
        <v>0</v>
      </c>
      <c r="U437" s="1" t="b">
        <v>0</v>
      </c>
      <c r="V437" s="1" t="s">
        <v>7455</v>
      </c>
      <c r="W437" s="1" t="s">
        <v>7456</v>
      </c>
      <c r="X437" s="1">
        <v>200.0</v>
      </c>
      <c r="AA437" s="1" t="s">
        <v>7452</v>
      </c>
      <c r="AG437" s="5">
        <v>43591.0</v>
      </c>
    </row>
    <row r="438">
      <c r="A438" s="1">
        <v>206633.0</v>
      </c>
      <c r="B438" s="1">
        <v>0.0</v>
      </c>
      <c r="C438" s="1" t="s">
        <v>7461</v>
      </c>
      <c r="D438" s="1" t="s">
        <v>5068</v>
      </c>
      <c r="F438" s="1" t="s">
        <v>7462</v>
      </c>
      <c r="G438" s="1" t="s">
        <v>26</v>
      </c>
      <c r="H438" s="1" t="s">
        <v>5102</v>
      </c>
      <c r="I438" s="1" t="s">
        <v>18</v>
      </c>
      <c r="J438" s="1" t="s">
        <v>5071</v>
      </c>
      <c r="K438" s="6" t="s">
        <v>7463</v>
      </c>
      <c r="L438" s="6" t="s">
        <v>7464</v>
      </c>
      <c r="M438" s="1" t="s">
        <v>5125</v>
      </c>
      <c r="O438" s="5">
        <v>42061.0</v>
      </c>
      <c r="R438" s="1" t="b">
        <v>0</v>
      </c>
      <c r="U438" s="1" t="b">
        <v>0</v>
      </c>
      <c r="V438" s="1" t="s">
        <v>5688</v>
      </c>
      <c r="W438" s="1" t="s">
        <v>7465</v>
      </c>
      <c r="X438" s="1">
        <v>200.0</v>
      </c>
      <c r="Y438" s="1" t="s">
        <v>5075</v>
      </c>
      <c r="AG438" s="5">
        <v>43591.0</v>
      </c>
    </row>
    <row r="439">
      <c r="A439" s="1">
        <v>206634.0</v>
      </c>
      <c r="B439" s="1">
        <v>0.0</v>
      </c>
      <c r="C439" s="1" t="s">
        <v>7466</v>
      </c>
      <c r="D439" s="1" t="s">
        <v>5081</v>
      </c>
      <c r="F439" s="1" t="s">
        <v>7467</v>
      </c>
      <c r="G439" s="1" t="s">
        <v>26</v>
      </c>
      <c r="H439" s="1" t="s">
        <v>5102</v>
      </c>
      <c r="I439" s="1" t="s">
        <v>18</v>
      </c>
      <c r="J439" s="1" t="s">
        <v>5071</v>
      </c>
      <c r="K439" s="1" t="s">
        <v>5072</v>
      </c>
      <c r="L439" s="6" t="s">
        <v>7468</v>
      </c>
      <c r="M439" s="1" t="s">
        <v>5125</v>
      </c>
      <c r="O439" s="5">
        <v>42061.0</v>
      </c>
      <c r="R439" s="1" t="b">
        <v>0</v>
      </c>
      <c r="U439" s="1" t="b">
        <v>0</v>
      </c>
      <c r="V439" s="1" t="s">
        <v>5688</v>
      </c>
      <c r="W439" s="1" t="s">
        <v>7465</v>
      </c>
      <c r="X439" s="1">
        <v>408.0</v>
      </c>
      <c r="AA439" s="1" t="s">
        <v>7462</v>
      </c>
      <c r="AG439" s="5">
        <v>43591.0</v>
      </c>
    </row>
    <row r="440">
      <c r="A440" s="1">
        <v>206641.0</v>
      </c>
      <c r="B440" s="1">
        <v>0.0</v>
      </c>
      <c r="C440" s="1" t="s">
        <v>7469</v>
      </c>
      <c r="D440" s="1" t="s">
        <v>5068</v>
      </c>
      <c r="E440" s="5">
        <v>43698.0</v>
      </c>
      <c r="F440" s="1" t="s">
        <v>7470</v>
      </c>
      <c r="G440" s="1" t="s">
        <v>26</v>
      </c>
      <c r="H440" s="1" t="s">
        <v>5102</v>
      </c>
      <c r="I440" s="1" t="s">
        <v>18</v>
      </c>
      <c r="J440" s="1" t="s">
        <v>5071</v>
      </c>
      <c r="K440" s="1" t="s">
        <v>5072</v>
      </c>
      <c r="L440" s="6" t="s">
        <v>7471</v>
      </c>
      <c r="M440" s="1" t="s">
        <v>5125</v>
      </c>
      <c r="O440" s="5">
        <v>38681.0</v>
      </c>
      <c r="P440" s="5">
        <v>38681.0</v>
      </c>
      <c r="R440" s="1" t="b">
        <v>0</v>
      </c>
      <c r="U440" s="1" t="b">
        <v>0</v>
      </c>
      <c r="V440" s="1" t="s">
        <v>6455</v>
      </c>
      <c r="X440" s="1">
        <v>408.0</v>
      </c>
      <c r="AG440" s="5">
        <v>43591.0</v>
      </c>
    </row>
    <row r="441">
      <c r="A441" s="1">
        <v>206642.0</v>
      </c>
      <c r="B441" s="1">
        <v>0.0</v>
      </c>
      <c r="C441" s="1" t="s">
        <v>7472</v>
      </c>
      <c r="D441" s="1" t="s">
        <v>5081</v>
      </c>
      <c r="E441" s="5">
        <v>43698.0</v>
      </c>
      <c r="F441" s="1" t="s">
        <v>7473</v>
      </c>
      <c r="G441" s="1" t="s">
        <v>26</v>
      </c>
      <c r="H441" s="1" t="s">
        <v>5102</v>
      </c>
      <c r="I441" s="1" t="s">
        <v>18</v>
      </c>
      <c r="J441" s="1" t="s">
        <v>5071</v>
      </c>
      <c r="K441" s="1" t="s">
        <v>5072</v>
      </c>
      <c r="L441" s="6" t="s">
        <v>7474</v>
      </c>
      <c r="M441" s="1" t="s">
        <v>5125</v>
      </c>
      <c r="O441" s="5">
        <v>38681.0</v>
      </c>
      <c r="P441" s="5">
        <v>38681.0</v>
      </c>
      <c r="R441" s="1" t="b">
        <v>0</v>
      </c>
      <c r="U441" s="1" t="b">
        <v>0</v>
      </c>
      <c r="V441" s="1" t="s">
        <v>6455</v>
      </c>
      <c r="X441" s="1">
        <v>408.0</v>
      </c>
      <c r="AA441" s="1" t="s">
        <v>7470</v>
      </c>
      <c r="AG441" s="5">
        <v>43591.0</v>
      </c>
    </row>
    <row r="442">
      <c r="A442" s="1">
        <v>206651.0</v>
      </c>
      <c r="B442" s="1">
        <v>0.0</v>
      </c>
      <c r="C442" s="1" t="s">
        <v>7475</v>
      </c>
      <c r="D442" s="1" t="s">
        <v>5068</v>
      </c>
      <c r="F442" s="1" t="s">
        <v>7476</v>
      </c>
      <c r="G442" s="1" t="s">
        <v>26</v>
      </c>
      <c r="H442" s="1" t="s">
        <v>5102</v>
      </c>
      <c r="I442" s="1" t="s">
        <v>18</v>
      </c>
      <c r="J442" s="1" t="s">
        <v>5071</v>
      </c>
      <c r="K442" s="6" t="s">
        <v>7477</v>
      </c>
      <c r="L442" s="6" t="s">
        <v>7478</v>
      </c>
      <c r="M442" s="1" t="s">
        <v>5125</v>
      </c>
      <c r="O442" s="5">
        <v>32484.0</v>
      </c>
      <c r="R442" s="1" t="b">
        <v>0</v>
      </c>
      <c r="T442" s="1">
        <v>4130.0</v>
      </c>
      <c r="U442" s="1" t="b">
        <v>0</v>
      </c>
      <c r="V442" s="1" t="s">
        <v>5366</v>
      </c>
      <c r="W442" s="1" t="s">
        <v>7479</v>
      </c>
      <c r="X442" s="1">
        <v>200.0</v>
      </c>
      <c r="Y442" s="1" t="s">
        <v>5075</v>
      </c>
      <c r="Z442" s="1" t="s">
        <v>435</v>
      </c>
      <c r="AG442" s="5">
        <v>43591.0</v>
      </c>
    </row>
    <row r="443">
      <c r="A443" s="1">
        <v>206652.0</v>
      </c>
      <c r="B443" s="1">
        <v>0.0</v>
      </c>
      <c r="C443" s="1" t="s">
        <v>7480</v>
      </c>
      <c r="D443" s="1" t="s">
        <v>5081</v>
      </c>
      <c r="F443" s="1" t="s">
        <v>7481</v>
      </c>
      <c r="G443" s="1" t="s">
        <v>26</v>
      </c>
      <c r="H443" s="1" t="s">
        <v>5102</v>
      </c>
      <c r="I443" s="1" t="s">
        <v>18</v>
      </c>
      <c r="J443" s="1" t="s">
        <v>5071</v>
      </c>
      <c r="K443" s="6" t="s">
        <v>7482</v>
      </c>
      <c r="L443" s="6" t="s">
        <v>7483</v>
      </c>
      <c r="M443" s="1" t="s">
        <v>5125</v>
      </c>
      <c r="O443" s="5">
        <v>32484.0</v>
      </c>
      <c r="R443" s="1" t="b">
        <v>0</v>
      </c>
      <c r="T443" s="1">
        <v>4130.0</v>
      </c>
      <c r="U443" s="1" t="b">
        <v>0</v>
      </c>
      <c r="V443" s="1" t="s">
        <v>5366</v>
      </c>
      <c r="W443" s="1" t="s">
        <v>7479</v>
      </c>
      <c r="X443" s="1">
        <v>200.0</v>
      </c>
      <c r="Z443" s="1" t="s">
        <v>435</v>
      </c>
      <c r="AA443" s="1" t="s">
        <v>7476</v>
      </c>
      <c r="AG443" s="5">
        <v>43591.0</v>
      </c>
    </row>
    <row r="444">
      <c r="A444" s="1">
        <v>206653.0</v>
      </c>
      <c r="B444" s="1">
        <v>0.0</v>
      </c>
      <c r="C444" s="1" t="s">
        <v>7484</v>
      </c>
      <c r="D444" s="1" t="s">
        <v>5068</v>
      </c>
      <c r="F444" s="1" t="s">
        <v>7485</v>
      </c>
      <c r="G444" s="1" t="s">
        <v>26</v>
      </c>
      <c r="H444" s="1" t="s">
        <v>5102</v>
      </c>
      <c r="I444" s="1" t="s">
        <v>18</v>
      </c>
      <c r="J444" s="1" t="s">
        <v>5071</v>
      </c>
      <c r="K444" s="6" t="s">
        <v>7486</v>
      </c>
      <c r="L444" s="6" t="s">
        <v>7487</v>
      </c>
      <c r="M444" s="1" t="s">
        <v>5125</v>
      </c>
      <c r="O444" s="5">
        <v>39415.0</v>
      </c>
      <c r="P444" s="5">
        <v>39415.0</v>
      </c>
      <c r="R444" s="1" t="b">
        <v>0</v>
      </c>
      <c r="T444" s="1">
        <v>206641.0</v>
      </c>
      <c r="U444" s="1" t="b">
        <v>0</v>
      </c>
      <c r="V444" s="1" t="s">
        <v>5688</v>
      </c>
      <c r="W444" s="1" t="s">
        <v>7488</v>
      </c>
      <c r="X444" s="1">
        <v>200.0</v>
      </c>
      <c r="Z444" s="1" t="s">
        <v>7470</v>
      </c>
      <c r="AG444" s="5">
        <v>43591.0</v>
      </c>
    </row>
    <row r="445">
      <c r="A445" s="1">
        <v>206654.0</v>
      </c>
      <c r="B445" s="1">
        <v>0.0</v>
      </c>
      <c r="C445" s="1" t="s">
        <v>7489</v>
      </c>
      <c r="D445" s="1" t="s">
        <v>5081</v>
      </c>
      <c r="F445" s="1" t="s">
        <v>7490</v>
      </c>
      <c r="G445" s="1" t="s">
        <v>26</v>
      </c>
      <c r="H445" s="1" t="s">
        <v>5102</v>
      </c>
      <c r="I445" s="1" t="s">
        <v>18</v>
      </c>
      <c r="J445" s="1" t="s">
        <v>5071</v>
      </c>
      <c r="K445" s="6" t="s">
        <v>7491</v>
      </c>
      <c r="L445" s="6" t="s">
        <v>7492</v>
      </c>
      <c r="M445" s="1" t="s">
        <v>5125</v>
      </c>
      <c r="O445" s="5">
        <v>39415.0</v>
      </c>
      <c r="P445" s="5">
        <v>39415.0</v>
      </c>
      <c r="R445" s="1" t="b">
        <v>0</v>
      </c>
      <c r="T445" s="1">
        <v>206641.0</v>
      </c>
      <c r="U445" s="1" t="b">
        <v>0</v>
      </c>
      <c r="V445" s="1" t="s">
        <v>5688</v>
      </c>
      <c r="W445" s="1" t="s">
        <v>7488</v>
      </c>
      <c r="X445" s="1">
        <v>200.0</v>
      </c>
      <c r="Z445" s="1" t="s">
        <v>7470</v>
      </c>
      <c r="AA445" s="1" t="s">
        <v>7485</v>
      </c>
      <c r="AG445" s="5">
        <v>43591.0</v>
      </c>
    </row>
    <row r="446">
      <c r="A446" s="1">
        <v>206655.0</v>
      </c>
      <c r="B446" s="1">
        <v>0.0</v>
      </c>
      <c r="C446" s="1" t="s">
        <v>7493</v>
      </c>
      <c r="D446" s="1" t="s">
        <v>5068</v>
      </c>
      <c r="F446" s="1" t="s">
        <v>7494</v>
      </c>
      <c r="G446" s="1" t="s">
        <v>26</v>
      </c>
      <c r="H446" s="1" t="s">
        <v>5102</v>
      </c>
      <c r="I446" s="1" t="s">
        <v>18</v>
      </c>
      <c r="J446" s="1" t="s">
        <v>5071</v>
      </c>
      <c r="K446" s="6" t="s">
        <v>7495</v>
      </c>
      <c r="L446" s="6" t="s">
        <v>7496</v>
      </c>
      <c r="M446" s="1" t="s">
        <v>5125</v>
      </c>
      <c r="O446" s="5">
        <v>35108.0</v>
      </c>
      <c r="R446" s="1" t="b">
        <v>0</v>
      </c>
      <c r="T446" s="1">
        <v>4130.0</v>
      </c>
      <c r="U446" s="1" t="b">
        <v>0</v>
      </c>
      <c r="V446" s="1" t="s">
        <v>7497</v>
      </c>
      <c r="W446" s="1" t="s">
        <v>7498</v>
      </c>
      <c r="X446" s="1">
        <v>200.0</v>
      </c>
      <c r="Y446" s="1" t="s">
        <v>5075</v>
      </c>
      <c r="Z446" s="1" t="s">
        <v>435</v>
      </c>
      <c r="AG446" s="5">
        <v>43591.0</v>
      </c>
    </row>
    <row r="447">
      <c r="A447" s="1">
        <v>206656.0</v>
      </c>
      <c r="B447" s="1">
        <v>0.0</v>
      </c>
      <c r="C447" s="1" t="s">
        <v>7499</v>
      </c>
      <c r="D447" s="1" t="s">
        <v>5081</v>
      </c>
      <c r="F447" s="1" t="s">
        <v>7500</v>
      </c>
      <c r="G447" s="1" t="s">
        <v>26</v>
      </c>
      <c r="H447" s="1" t="s">
        <v>5102</v>
      </c>
      <c r="I447" s="1" t="s">
        <v>18</v>
      </c>
      <c r="J447" s="1" t="s">
        <v>5071</v>
      </c>
      <c r="K447" s="6" t="s">
        <v>7501</v>
      </c>
      <c r="L447" s="6" t="s">
        <v>7502</v>
      </c>
      <c r="M447" s="1" t="s">
        <v>5125</v>
      </c>
      <c r="O447" s="5">
        <v>35108.0</v>
      </c>
      <c r="R447" s="1" t="b">
        <v>0</v>
      </c>
      <c r="T447" s="1">
        <v>4130.0</v>
      </c>
      <c r="U447" s="1" t="b">
        <v>0</v>
      </c>
      <c r="V447" s="1" t="s">
        <v>7497</v>
      </c>
      <c r="W447" s="1" t="s">
        <v>7498</v>
      </c>
      <c r="X447" s="1">
        <v>200.0</v>
      </c>
      <c r="Z447" s="1" t="s">
        <v>435</v>
      </c>
      <c r="AA447" s="1" t="s">
        <v>7494</v>
      </c>
      <c r="AG447" s="5">
        <v>43591.0</v>
      </c>
    </row>
    <row r="448">
      <c r="A448" s="1">
        <v>206659.0</v>
      </c>
      <c r="B448" s="1">
        <v>0.0</v>
      </c>
      <c r="C448" s="1" t="s">
        <v>7503</v>
      </c>
      <c r="D448" s="1" t="s">
        <v>5068</v>
      </c>
      <c r="F448" s="1" t="s">
        <v>7504</v>
      </c>
      <c r="G448" s="1" t="s">
        <v>26</v>
      </c>
      <c r="H448" s="1" t="s">
        <v>5102</v>
      </c>
      <c r="I448" s="1" t="s">
        <v>18</v>
      </c>
      <c r="J448" s="1" t="s">
        <v>5071</v>
      </c>
      <c r="K448" s="6" t="s">
        <v>7505</v>
      </c>
      <c r="L448" s="6" t="s">
        <v>7506</v>
      </c>
      <c r="M448" s="1" t="s">
        <v>5125</v>
      </c>
      <c r="R448" s="1" t="b">
        <v>0</v>
      </c>
      <c r="T448" s="1">
        <v>646.0</v>
      </c>
      <c r="U448" s="1" t="b">
        <v>0</v>
      </c>
      <c r="V448" s="1" t="s">
        <v>7507</v>
      </c>
      <c r="W448" s="1" t="s">
        <v>7508</v>
      </c>
      <c r="X448" s="1">
        <v>200.0</v>
      </c>
      <c r="Y448" s="1" t="s">
        <v>5075</v>
      </c>
      <c r="Z448" s="1" t="s">
        <v>1079</v>
      </c>
      <c r="AG448" s="5">
        <v>43591.0</v>
      </c>
    </row>
    <row r="449">
      <c r="A449" s="1">
        <v>206660.0</v>
      </c>
      <c r="B449" s="1">
        <v>0.0</v>
      </c>
      <c r="C449" s="1" t="s">
        <v>7509</v>
      </c>
      <c r="D449" s="1" t="s">
        <v>5081</v>
      </c>
      <c r="F449" s="1" t="s">
        <v>7510</v>
      </c>
      <c r="G449" s="1" t="s">
        <v>26</v>
      </c>
      <c r="H449" s="1" t="s">
        <v>5102</v>
      </c>
      <c r="I449" s="1" t="s">
        <v>18</v>
      </c>
      <c r="J449" s="1" t="s">
        <v>5071</v>
      </c>
      <c r="K449" s="6" t="s">
        <v>7511</v>
      </c>
      <c r="L449" s="6" t="s">
        <v>7512</v>
      </c>
      <c r="M449" s="1" t="s">
        <v>5125</v>
      </c>
      <c r="R449" s="1" t="b">
        <v>0</v>
      </c>
      <c r="T449" s="1">
        <v>646.0</v>
      </c>
      <c r="U449" s="1" t="b">
        <v>0</v>
      </c>
      <c r="V449" s="1" t="s">
        <v>7507</v>
      </c>
      <c r="W449" s="1" t="s">
        <v>7508</v>
      </c>
      <c r="X449" s="1">
        <v>200.0</v>
      </c>
      <c r="Z449" s="1" t="s">
        <v>1079</v>
      </c>
      <c r="AA449" s="1" t="s">
        <v>7504</v>
      </c>
      <c r="AG449" s="5">
        <v>43591.0</v>
      </c>
    </row>
    <row r="450">
      <c r="A450" s="1">
        <v>206661.0</v>
      </c>
      <c r="B450" s="1">
        <v>0.0</v>
      </c>
      <c r="C450" s="1" t="s">
        <v>7513</v>
      </c>
      <c r="D450" s="1" t="s">
        <v>5068</v>
      </c>
      <c r="F450" s="1" t="s">
        <v>7514</v>
      </c>
      <c r="G450" s="1" t="s">
        <v>26</v>
      </c>
      <c r="H450" s="1" t="s">
        <v>5102</v>
      </c>
      <c r="I450" s="1" t="s">
        <v>18</v>
      </c>
      <c r="J450" s="1" t="s">
        <v>5071</v>
      </c>
      <c r="K450" s="6" t="s">
        <v>7515</v>
      </c>
      <c r="L450" s="6" t="s">
        <v>7516</v>
      </c>
      <c r="M450" s="1" t="s">
        <v>5125</v>
      </c>
      <c r="O450" s="5">
        <v>29642.0</v>
      </c>
      <c r="R450" s="1" t="b">
        <v>0</v>
      </c>
      <c r="T450" s="1">
        <v>4139.0</v>
      </c>
      <c r="U450" s="1" t="b">
        <v>0</v>
      </c>
      <c r="V450" s="1" t="s">
        <v>7517</v>
      </c>
      <c r="W450" s="1" t="s">
        <v>7518</v>
      </c>
      <c r="X450" s="1">
        <v>200.0</v>
      </c>
      <c r="Z450" s="1" t="s">
        <v>6076</v>
      </c>
      <c r="AG450" s="5">
        <v>43591.0</v>
      </c>
    </row>
    <row r="451">
      <c r="A451" s="1">
        <v>206662.0</v>
      </c>
      <c r="B451" s="1">
        <v>0.0</v>
      </c>
      <c r="C451" s="1" t="s">
        <v>7519</v>
      </c>
      <c r="D451" s="1" t="s">
        <v>5081</v>
      </c>
      <c r="F451" s="1" t="s">
        <v>7520</v>
      </c>
      <c r="G451" s="1" t="s">
        <v>26</v>
      </c>
      <c r="H451" s="1" t="s">
        <v>5102</v>
      </c>
      <c r="I451" s="1" t="s">
        <v>18</v>
      </c>
      <c r="J451" s="1" t="s">
        <v>5071</v>
      </c>
      <c r="K451" s="6" t="s">
        <v>7521</v>
      </c>
      <c r="L451" s="6" t="s">
        <v>7522</v>
      </c>
      <c r="M451" s="1" t="s">
        <v>5125</v>
      </c>
      <c r="O451" s="5">
        <v>29642.0</v>
      </c>
      <c r="R451" s="1" t="b">
        <v>0</v>
      </c>
      <c r="T451" s="1">
        <v>4139.0</v>
      </c>
      <c r="U451" s="1" t="b">
        <v>0</v>
      </c>
      <c r="V451" s="1" t="s">
        <v>7517</v>
      </c>
      <c r="W451" s="1" t="s">
        <v>7518</v>
      </c>
      <c r="X451" s="1">
        <v>200.0</v>
      </c>
      <c r="Z451" s="1" t="s">
        <v>6076</v>
      </c>
      <c r="AA451" s="1" t="s">
        <v>7514</v>
      </c>
      <c r="AG451" s="5">
        <v>43591.0</v>
      </c>
    </row>
    <row r="452">
      <c r="A452" s="1">
        <v>206663.0</v>
      </c>
      <c r="B452" s="1">
        <v>0.0</v>
      </c>
      <c r="C452" s="1" t="s">
        <v>7523</v>
      </c>
      <c r="D452" s="1" t="s">
        <v>5068</v>
      </c>
      <c r="F452" s="1" t="s">
        <v>7524</v>
      </c>
      <c r="G452" s="1" t="s">
        <v>26</v>
      </c>
      <c r="H452" s="1" t="s">
        <v>5102</v>
      </c>
      <c r="I452" s="1" t="s">
        <v>18</v>
      </c>
      <c r="J452" s="1" t="s">
        <v>5071</v>
      </c>
      <c r="K452" s="6" t="s">
        <v>7525</v>
      </c>
      <c r="L452" s="6" t="s">
        <v>7526</v>
      </c>
      <c r="M452" s="1" t="s">
        <v>5125</v>
      </c>
      <c r="O452" s="5">
        <v>29425.0</v>
      </c>
      <c r="R452" s="1" t="b">
        <v>0</v>
      </c>
      <c r="T452" s="1">
        <v>4139.0</v>
      </c>
      <c r="U452" s="1" t="b">
        <v>0</v>
      </c>
      <c r="V452" s="1" t="s">
        <v>7527</v>
      </c>
      <c r="W452" s="1" t="s">
        <v>7528</v>
      </c>
      <c r="X452" s="1">
        <v>200.0</v>
      </c>
      <c r="Z452" s="1" t="s">
        <v>6076</v>
      </c>
      <c r="AG452" s="5">
        <v>43591.0</v>
      </c>
    </row>
    <row r="453">
      <c r="A453" s="1">
        <v>206664.0</v>
      </c>
      <c r="B453" s="1">
        <v>0.0</v>
      </c>
      <c r="C453" s="1" t="s">
        <v>7529</v>
      </c>
      <c r="D453" s="1" t="s">
        <v>5081</v>
      </c>
      <c r="F453" s="1" t="s">
        <v>7530</v>
      </c>
      <c r="G453" s="1" t="s">
        <v>26</v>
      </c>
      <c r="H453" s="1" t="s">
        <v>5102</v>
      </c>
      <c r="I453" s="1" t="s">
        <v>18</v>
      </c>
      <c r="J453" s="1" t="s">
        <v>5071</v>
      </c>
      <c r="K453" s="6" t="s">
        <v>7531</v>
      </c>
      <c r="L453" s="6" t="s">
        <v>7532</v>
      </c>
      <c r="M453" s="1" t="s">
        <v>5125</v>
      </c>
      <c r="O453" s="5">
        <v>29425.0</v>
      </c>
      <c r="R453" s="1" t="b">
        <v>0</v>
      </c>
      <c r="T453" s="1">
        <v>4139.0</v>
      </c>
      <c r="U453" s="1" t="b">
        <v>0</v>
      </c>
      <c r="V453" s="1" t="s">
        <v>7527</v>
      </c>
      <c r="W453" s="1" t="s">
        <v>7528</v>
      </c>
      <c r="X453" s="1">
        <v>200.0</v>
      </c>
      <c r="Z453" s="1" t="s">
        <v>6076</v>
      </c>
      <c r="AA453" s="1" t="s">
        <v>7524</v>
      </c>
      <c r="AG453" s="5">
        <v>43591.0</v>
      </c>
    </row>
    <row r="454">
      <c r="A454" s="1">
        <v>206665.0</v>
      </c>
      <c r="B454" s="1">
        <v>0.0</v>
      </c>
      <c r="C454" s="1" t="s">
        <v>7533</v>
      </c>
      <c r="D454" s="1" t="s">
        <v>5068</v>
      </c>
      <c r="F454" s="1" t="s">
        <v>7534</v>
      </c>
      <c r="G454" s="1" t="s">
        <v>26</v>
      </c>
      <c r="H454" s="1" t="s">
        <v>5102</v>
      </c>
      <c r="I454" s="1" t="s">
        <v>356</v>
      </c>
      <c r="J454" s="1" t="s">
        <v>5071</v>
      </c>
      <c r="K454" s="6" t="s">
        <v>7535</v>
      </c>
      <c r="L454" s="6" t="s">
        <v>7536</v>
      </c>
      <c r="M454" s="1" t="s">
        <v>5125</v>
      </c>
      <c r="O454" s="5">
        <v>34800.0</v>
      </c>
      <c r="R454" s="1" t="b">
        <v>0</v>
      </c>
      <c r="T454" s="1">
        <v>197915.0</v>
      </c>
      <c r="U454" s="1" t="b">
        <v>0</v>
      </c>
      <c r="V454" s="1" t="s">
        <v>7537</v>
      </c>
      <c r="X454" s="1">
        <v>200.0</v>
      </c>
      <c r="Z454" s="1" t="s">
        <v>440</v>
      </c>
      <c r="AG454" s="5">
        <v>43591.0</v>
      </c>
    </row>
    <row r="455">
      <c r="A455" s="1">
        <v>206666.0</v>
      </c>
      <c r="B455" s="1">
        <v>0.0</v>
      </c>
      <c r="C455" s="1" t="s">
        <v>7538</v>
      </c>
      <c r="D455" s="1" t="s">
        <v>5081</v>
      </c>
      <c r="F455" s="1" t="s">
        <v>7539</v>
      </c>
      <c r="G455" s="1" t="s">
        <v>26</v>
      </c>
      <c r="H455" s="1" t="s">
        <v>5102</v>
      </c>
      <c r="I455" s="1" t="s">
        <v>356</v>
      </c>
      <c r="J455" s="1" t="s">
        <v>5071</v>
      </c>
      <c r="K455" s="6" t="s">
        <v>7540</v>
      </c>
      <c r="L455" s="6" t="s">
        <v>7541</v>
      </c>
      <c r="M455" s="1" t="s">
        <v>5125</v>
      </c>
      <c r="O455" s="5">
        <v>34800.0</v>
      </c>
      <c r="R455" s="1" t="b">
        <v>0</v>
      </c>
      <c r="T455" s="1">
        <v>197915.0</v>
      </c>
      <c r="U455" s="1" t="b">
        <v>0</v>
      </c>
      <c r="V455" s="1" t="s">
        <v>7537</v>
      </c>
      <c r="X455" s="1">
        <v>200.0</v>
      </c>
      <c r="Z455" s="1" t="s">
        <v>440</v>
      </c>
      <c r="AA455" s="1" t="s">
        <v>7534</v>
      </c>
      <c r="AG455" s="5">
        <v>43591.0</v>
      </c>
    </row>
    <row r="456">
      <c r="A456" s="1">
        <v>206667.0</v>
      </c>
      <c r="B456" s="1">
        <v>0.0</v>
      </c>
      <c r="C456" s="1" t="s">
        <v>7542</v>
      </c>
      <c r="D456" s="1" t="s">
        <v>5068</v>
      </c>
      <c r="F456" s="1" t="s">
        <v>7543</v>
      </c>
      <c r="G456" s="1" t="s">
        <v>26</v>
      </c>
      <c r="H456" s="1" t="s">
        <v>5102</v>
      </c>
      <c r="I456" s="1" t="s">
        <v>18</v>
      </c>
      <c r="J456" s="1" t="s">
        <v>5071</v>
      </c>
      <c r="K456" s="6" t="s">
        <v>7544</v>
      </c>
      <c r="L456" s="6" t="s">
        <v>7545</v>
      </c>
      <c r="M456" s="1" t="s">
        <v>5125</v>
      </c>
      <c r="O456" s="5">
        <v>29425.0</v>
      </c>
      <c r="R456" s="1" t="b">
        <v>0</v>
      </c>
      <c r="T456" s="1">
        <v>4139.0</v>
      </c>
      <c r="U456" s="1" t="b">
        <v>0</v>
      </c>
      <c r="V456" s="1" t="s">
        <v>7546</v>
      </c>
      <c r="W456" s="1" t="s">
        <v>7547</v>
      </c>
      <c r="X456" s="1">
        <v>200.0</v>
      </c>
      <c r="Z456" s="1" t="s">
        <v>6076</v>
      </c>
      <c r="AG456" s="5">
        <v>43591.0</v>
      </c>
    </row>
    <row r="457">
      <c r="A457" s="1">
        <v>206668.0</v>
      </c>
      <c r="B457" s="1">
        <v>0.0</v>
      </c>
      <c r="C457" s="1" t="s">
        <v>7548</v>
      </c>
      <c r="D457" s="1" t="s">
        <v>5081</v>
      </c>
      <c r="F457" s="1" t="s">
        <v>7549</v>
      </c>
      <c r="G457" s="1" t="s">
        <v>26</v>
      </c>
      <c r="H457" s="1" t="s">
        <v>5102</v>
      </c>
      <c r="I457" s="1" t="s">
        <v>18</v>
      </c>
      <c r="J457" s="1" t="s">
        <v>5071</v>
      </c>
      <c r="K457" s="6" t="s">
        <v>7550</v>
      </c>
      <c r="L457" s="6" t="s">
        <v>7551</v>
      </c>
      <c r="M457" s="1" t="s">
        <v>5125</v>
      </c>
      <c r="O457" s="5">
        <v>29425.0</v>
      </c>
      <c r="R457" s="1" t="b">
        <v>0</v>
      </c>
      <c r="T457" s="1">
        <v>4139.0</v>
      </c>
      <c r="U457" s="1" t="b">
        <v>0</v>
      </c>
      <c r="V457" s="1" t="s">
        <v>7546</v>
      </c>
      <c r="W457" s="1" t="s">
        <v>7547</v>
      </c>
      <c r="X457" s="1">
        <v>200.0</v>
      </c>
      <c r="Z457" s="1" t="s">
        <v>6076</v>
      </c>
      <c r="AA457" s="1" t="s">
        <v>7543</v>
      </c>
      <c r="AG457" s="5">
        <v>43591.0</v>
      </c>
    </row>
    <row r="458">
      <c r="A458" s="1">
        <v>206669.0</v>
      </c>
      <c r="B458" s="1">
        <v>0.0</v>
      </c>
      <c r="C458" s="1" t="s">
        <v>7552</v>
      </c>
      <c r="D458" s="1" t="s">
        <v>5068</v>
      </c>
      <c r="F458" s="1" t="s">
        <v>7553</v>
      </c>
      <c r="G458" s="1" t="s">
        <v>26</v>
      </c>
      <c r="H458" s="1" t="s">
        <v>5102</v>
      </c>
      <c r="I458" s="1" t="s">
        <v>18</v>
      </c>
      <c r="J458" s="1" t="s">
        <v>5071</v>
      </c>
      <c r="K458" s="6" t="s">
        <v>7554</v>
      </c>
      <c r="L458" s="6" t="s">
        <v>7555</v>
      </c>
      <c r="M458" s="1" t="s">
        <v>5125</v>
      </c>
      <c r="O458" s="5">
        <v>29642.0</v>
      </c>
      <c r="R458" s="1" t="b">
        <v>0</v>
      </c>
      <c r="T458" s="1">
        <v>4139.0</v>
      </c>
      <c r="U458" s="1" t="b">
        <v>0</v>
      </c>
      <c r="V458" s="1" t="s">
        <v>7556</v>
      </c>
      <c r="W458" s="1" t="s">
        <v>7557</v>
      </c>
      <c r="X458" s="1">
        <v>200.0</v>
      </c>
      <c r="Z458" s="1" t="s">
        <v>6076</v>
      </c>
      <c r="AG458" s="5">
        <v>43591.0</v>
      </c>
    </row>
    <row r="459">
      <c r="A459" s="1">
        <v>206670.0</v>
      </c>
      <c r="B459" s="1">
        <v>0.0</v>
      </c>
      <c r="C459" s="1" t="s">
        <v>7558</v>
      </c>
      <c r="D459" s="1" t="s">
        <v>5081</v>
      </c>
      <c r="F459" s="1" t="s">
        <v>7559</v>
      </c>
      <c r="G459" s="1" t="s">
        <v>26</v>
      </c>
      <c r="H459" s="1" t="s">
        <v>5102</v>
      </c>
      <c r="I459" s="1" t="s">
        <v>18</v>
      </c>
      <c r="J459" s="1" t="s">
        <v>5071</v>
      </c>
      <c r="K459" s="6" t="s">
        <v>7560</v>
      </c>
      <c r="L459" s="6" t="s">
        <v>7561</v>
      </c>
      <c r="M459" s="1" t="s">
        <v>5125</v>
      </c>
      <c r="O459" s="5">
        <v>29642.0</v>
      </c>
      <c r="R459" s="1" t="b">
        <v>0</v>
      </c>
      <c r="T459" s="1">
        <v>4139.0</v>
      </c>
      <c r="U459" s="1" t="b">
        <v>0</v>
      </c>
      <c r="V459" s="1" t="s">
        <v>7556</v>
      </c>
      <c r="W459" s="1" t="s">
        <v>7557</v>
      </c>
      <c r="X459" s="1">
        <v>200.0</v>
      </c>
      <c r="Z459" s="1" t="s">
        <v>6076</v>
      </c>
      <c r="AA459" s="1" t="s">
        <v>7553</v>
      </c>
      <c r="AG459" s="5">
        <v>43591.0</v>
      </c>
    </row>
    <row r="460">
      <c r="A460" s="1">
        <v>206671.0</v>
      </c>
      <c r="B460" s="1">
        <v>0.0</v>
      </c>
      <c r="C460" s="1" t="s">
        <v>7562</v>
      </c>
      <c r="D460" s="1" t="s">
        <v>5068</v>
      </c>
      <c r="F460" s="1" t="s">
        <v>7563</v>
      </c>
      <c r="G460" s="1" t="s">
        <v>26</v>
      </c>
      <c r="H460" s="1" t="s">
        <v>5102</v>
      </c>
      <c r="I460" s="1" t="s">
        <v>18</v>
      </c>
      <c r="J460" s="1" t="s">
        <v>5071</v>
      </c>
      <c r="K460" s="6" t="s">
        <v>7564</v>
      </c>
      <c r="L460" s="6" t="s">
        <v>7565</v>
      </c>
      <c r="M460" s="1" t="s">
        <v>5125</v>
      </c>
      <c r="O460" s="5">
        <v>29642.0</v>
      </c>
      <c r="R460" s="1" t="b">
        <v>0</v>
      </c>
      <c r="T460" s="1">
        <v>4139.0</v>
      </c>
      <c r="U460" s="1" t="b">
        <v>0</v>
      </c>
      <c r="V460" s="1" t="s">
        <v>7556</v>
      </c>
      <c r="W460" s="1" t="s">
        <v>7566</v>
      </c>
      <c r="X460" s="1">
        <v>200.0</v>
      </c>
      <c r="Z460" s="1" t="s">
        <v>6076</v>
      </c>
      <c r="AG460" s="5">
        <v>43591.0</v>
      </c>
    </row>
    <row r="461">
      <c r="A461" s="1">
        <v>206672.0</v>
      </c>
      <c r="B461" s="1">
        <v>0.0</v>
      </c>
      <c r="C461" s="1" t="s">
        <v>7567</v>
      </c>
      <c r="D461" s="1" t="s">
        <v>5081</v>
      </c>
      <c r="F461" s="1" t="s">
        <v>7568</v>
      </c>
      <c r="G461" s="1" t="s">
        <v>26</v>
      </c>
      <c r="H461" s="1" t="s">
        <v>5102</v>
      </c>
      <c r="I461" s="1" t="s">
        <v>18</v>
      </c>
      <c r="J461" s="1" t="s">
        <v>5071</v>
      </c>
      <c r="K461" s="6" t="s">
        <v>7569</v>
      </c>
      <c r="L461" s="6" t="s">
        <v>7570</v>
      </c>
      <c r="M461" s="1" t="s">
        <v>5125</v>
      </c>
      <c r="O461" s="5">
        <v>29642.0</v>
      </c>
      <c r="R461" s="1" t="b">
        <v>0</v>
      </c>
      <c r="T461" s="1">
        <v>4139.0</v>
      </c>
      <c r="U461" s="1" t="b">
        <v>0</v>
      </c>
      <c r="V461" s="1" t="s">
        <v>7556</v>
      </c>
      <c r="W461" s="1" t="s">
        <v>7566</v>
      </c>
      <c r="X461" s="1">
        <v>200.0</v>
      </c>
      <c r="Z461" s="1" t="s">
        <v>6076</v>
      </c>
      <c r="AA461" s="1" t="s">
        <v>7563</v>
      </c>
      <c r="AG461" s="5">
        <v>43591.0</v>
      </c>
    </row>
    <row r="462">
      <c r="A462" s="1">
        <v>210251.0</v>
      </c>
      <c r="B462" s="1">
        <v>0.0</v>
      </c>
      <c r="C462" s="1" t="s">
        <v>7571</v>
      </c>
      <c r="D462" s="1" t="s">
        <v>5068</v>
      </c>
      <c r="E462" s="5">
        <v>44901.0</v>
      </c>
      <c r="F462" s="1" t="s">
        <v>7572</v>
      </c>
      <c r="G462" s="1" t="s">
        <v>26</v>
      </c>
      <c r="H462" s="1" t="s">
        <v>5102</v>
      </c>
      <c r="I462" s="1" t="s">
        <v>18</v>
      </c>
      <c r="J462" s="1" t="s">
        <v>24</v>
      </c>
      <c r="K462" s="6" t="s">
        <v>7573</v>
      </c>
      <c r="L462" s="6" t="s">
        <v>7574</v>
      </c>
      <c r="M462" s="1" t="s">
        <v>7575</v>
      </c>
      <c r="O462" s="5">
        <v>43620.0</v>
      </c>
      <c r="P462" s="5">
        <v>43615.0</v>
      </c>
      <c r="R462" s="1" t="b">
        <v>0</v>
      </c>
      <c r="T462" s="1">
        <v>401.0</v>
      </c>
      <c r="U462" s="1" t="b">
        <v>1</v>
      </c>
      <c r="V462" s="1" t="s">
        <v>7507</v>
      </c>
      <c r="W462" s="1" t="s">
        <v>7576</v>
      </c>
      <c r="X462" s="1">
        <v>200.0</v>
      </c>
      <c r="Y462" s="1" t="s">
        <v>5142</v>
      </c>
      <c r="Z462" s="1" t="s">
        <v>5162</v>
      </c>
      <c r="AC462" s="1" t="s">
        <v>5077</v>
      </c>
      <c r="AD462" s="1" t="s">
        <v>5093</v>
      </c>
      <c r="AG462" s="5">
        <v>43623.0</v>
      </c>
      <c r="AH462" s="1">
        <v>285122.0</v>
      </c>
    </row>
    <row r="463">
      <c r="A463" s="1">
        <v>210952.0</v>
      </c>
      <c r="B463" s="1">
        <v>0.0</v>
      </c>
      <c r="C463" s="1" t="s">
        <v>7577</v>
      </c>
      <c r="D463" s="1" t="s">
        <v>5068</v>
      </c>
      <c r="F463" s="1" t="s">
        <v>7578</v>
      </c>
      <c r="G463" s="1" t="s">
        <v>26</v>
      </c>
      <c r="H463" s="1" t="s">
        <v>5102</v>
      </c>
      <c r="I463" s="1" t="s">
        <v>7579</v>
      </c>
      <c r="J463" s="1" t="s">
        <v>5071</v>
      </c>
      <c r="K463" s="6" t="s">
        <v>7580</v>
      </c>
      <c r="L463" s="6" t="s">
        <v>7581</v>
      </c>
      <c r="M463" s="1" t="s">
        <v>7582</v>
      </c>
      <c r="O463" s="5">
        <v>43456.0</v>
      </c>
      <c r="R463" s="1" t="b">
        <v>0</v>
      </c>
      <c r="T463" s="1">
        <v>288.0</v>
      </c>
      <c r="U463" s="1" t="b">
        <v>0</v>
      </c>
      <c r="V463" s="1" t="s">
        <v>5688</v>
      </c>
      <c r="W463" s="1" t="s">
        <v>7583</v>
      </c>
      <c r="X463" s="1">
        <v>200.0</v>
      </c>
      <c r="Y463" s="1" t="s">
        <v>5075</v>
      </c>
      <c r="Z463" s="1" t="s">
        <v>5135</v>
      </c>
      <c r="AG463" s="5">
        <v>43629.0</v>
      </c>
    </row>
    <row r="464">
      <c r="A464" s="1">
        <v>210953.0</v>
      </c>
      <c r="B464" s="1">
        <v>0.0</v>
      </c>
      <c r="C464" s="1" t="s">
        <v>7584</v>
      </c>
      <c r="D464" s="1" t="s">
        <v>5081</v>
      </c>
      <c r="F464" s="1" t="s">
        <v>7585</v>
      </c>
      <c r="G464" s="1" t="s">
        <v>26</v>
      </c>
      <c r="H464" s="1" t="s">
        <v>5102</v>
      </c>
      <c r="I464" s="1" t="s">
        <v>7579</v>
      </c>
      <c r="J464" s="1" t="s">
        <v>5071</v>
      </c>
      <c r="K464" s="6" t="s">
        <v>7586</v>
      </c>
      <c r="L464" s="6" t="s">
        <v>7587</v>
      </c>
      <c r="M464" s="1" t="s">
        <v>5125</v>
      </c>
      <c r="O464" s="5">
        <v>43456.0</v>
      </c>
      <c r="R464" s="1" t="b">
        <v>0</v>
      </c>
      <c r="T464" s="1">
        <v>288.0</v>
      </c>
      <c r="U464" s="1" t="b">
        <v>0</v>
      </c>
      <c r="V464" s="1" t="s">
        <v>5688</v>
      </c>
      <c r="W464" s="1" t="s">
        <v>7583</v>
      </c>
      <c r="X464" s="1">
        <v>200.0</v>
      </c>
      <c r="Y464" s="1" t="s">
        <v>5075</v>
      </c>
      <c r="Z464" s="1" t="s">
        <v>5135</v>
      </c>
      <c r="AA464" s="1" t="s">
        <v>7578</v>
      </c>
      <c r="AG464" s="5">
        <v>43629.0</v>
      </c>
    </row>
    <row r="465">
      <c r="A465" s="1">
        <v>211647.0</v>
      </c>
      <c r="B465" s="1">
        <v>0.0</v>
      </c>
      <c r="C465" s="1" t="s">
        <v>7588</v>
      </c>
      <c r="D465" s="1" t="s">
        <v>5068</v>
      </c>
      <c r="F465" s="1" t="s">
        <v>7589</v>
      </c>
      <c r="G465" s="1" t="s">
        <v>26</v>
      </c>
      <c r="H465" s="1" t="s">
        <v>5102</v>
      </c>
      <c r="I465" s="1" t="s">
        <v>516</v>
      </c>
      <c r="J465" s="1" t="s">
        <v>5071</v>
      </c>
      <c r="K465" s="6" t="s">
        <v>7590</v>
      </c>
      <c r="L465" s="6" t="s">
        <v>7591</v>
      </c>
      <c r="M465" s="1" t="s">
        <v>7592</v>
      </c>
      <c r="O465" s="5">
        <v>43631.0</v>
      </c>
      <c r="R465" s="1" t="b">
        <v>1</v>
      </c>
      <c r="U465" s="1" t="b">
        <v>0</v>
      </c>
      <c r="V465" s="1" t="s">
        <v>6982</v>
      </c>
      <c r="X465" s="1">
        <v>200.0</v>
      </c>
      <c r="AG465" s="5">
        <v>43635.0</v>
      </c>
    </row>
    <row r="466">
      <c r="A466" s="1">
        <v>211648.0</v>
      </c>
      <c r="B466" s="1">
        <v>0.0</v>
      </c>
      <c r="C466" s="1" t="s">
        <v>7593</v>
      </c>
      <c r="D466" s="1" t="s">
        <v>5081</v>
      </c>
      <c r="F466" s="1" t="s">
        <v>7594</v>
      </c>
      <c r="G466" s="1" t="s">
        <v>26</v>
      </c>
      <c r="H466" s="1" t="s">
        <v>5102</v>
      </c>
      <c r="I466" s="1" t="s">
        <v>516</v>
      </c>
      <c r="J466" s="1" t="s">
        <v>5071</v>
      </c>
      <c r="K466" s="6" t="s">
        <v>7595</v>
      </c>
      <c r="L466" s="6" t="s">
        <v>7596</v>
      </c>
      <c r="M466" s="1" t="s">
        <v>7597</v>
      </c>
      <c r="O466" s="5">
        <v>43631.0</v>
      </c>
      <c r="R466" s="1" t="b">
        <v>1</v>
      </c>
      <c r="U466" s="1" t="b">
        <v>0</v>
      </c>
      <c r="V466" s="1" t="s">
        <v>6982</v>
      </c>
      <c r="X466" s="1">
        <v>200.0</v>
      </c>
      <c r="AA466" s="1" t="s">
        <v>7589</v>
      </c>
      <c r="AG466" s="5">
        <v>43635.0</v>
      </c>
    </row>
    <row r="467">
      <c r="A467" s="1">
        <v>212159.0</v>
      </c>
      <c r="B467" s="1">
        <v>0.0</v>
      </c>
      <c r="C467" s="1" t="s">
        <v>7598</v>
      </c>
      <c r="D467" s="1" t="s">
        <v>5068</v>
      </c>
      <c r="F467" s="1" t="s">
        <v>7599</v>
      </c>
      <c r="G467" s="1" t="s">
        <v>26</v>
      </c>
      <c r="H467" s="1" t="s">
        <v>5102</v>
      </c>
      <c r="I467" s="1" t="s">
        <v>18</v>
      </c>
      <c r="J467" s="1" t="s">
        <v>24</v>
      </c>
      <c r="K467" s="6" t="s">
        <v>7600</v>
      </c>
      <c r="L467" s="6" t="s">
        <v>7601</v>
      </c>
      <c r="M467" s="1" t="s">
        <v>7602</v>
      </c>
      <c r="O467" s="5">
        <v>43634.0</v>
      </c>
      <c r="P467" s="5">
        <v>43831.0</v>
      </c>
      <c r="R467" s="1" t="b">
        <v>0</v>
      </c>
      <c r="T467" s="1">
        <v>401.0</v>
      </c>
      <c r="U467" s="1" t="b">
        <v>1</v>
      </c>
      <c r="V467" s="1" t="s">
        <v>6977</v>
      </c>
      <c r="W467" s="1" t="s">
        <v>7603</v>
      </c>
      <c r="X467" s="1">
        <v>200.0</v>
      </c>
      <c r="Y467" s="1" t="s">
        <v>5075</v>
      </c>
      <c r="Z467" s="1" t="s">
        <v>5162</v>
      </c>
      <c r="AC467" s="1" t="s">
        <v>5077</v>
      </c>
      <c r="AD467" s="1" t="s">
        <v>5093</v>
      </c>
      <c r="AE467" s="1" t="s">
        <v>7604</v>
      </c>
      <c r="AG467" s="5">
        <v>43642.0</v>
      </c>
      <c r="AH467" s="1">
        <v>163660.0</v>
      </c>
    </row>
    <row r="468">
      <c r="A468" s="1">
        <v>213495.0</v>
      </c>
      <c r="B468" s="1">
        <v>0.0</v>
      </c>
      <c r="C468" s="1" t="s">
        <v>703</v>
      </c>
      <c r="D468" s="1" t="s">
        <v>5068</v>
      </c>
      <c r="E468" s="5">
        <v>44504.0</v>
      </c>
      <c r="F468" s="1" t="s">
        <v>704</v>
      </c>
      <c r="G468" s="1" t="s">
        <v>26</v>
      </c>
      <c r="H468" s="1" t="s">
        <v>5070</v>
      </c>
      <c r="I468" s="1" t="s">
        <v>18</v>
      </c>
      <c r="J468" s="1" t="s">
        <v>24</v>
      </c>
      <c r="K468" s="6" t="s">
        <v>7605</v>
      </c>
      <c r="L468" s="6" t="s">
        <v>7606</v>
      </c>
      <c r="M468" s="1" t="s">
        <v>7607</v>
      </c>
      <c r="O468" s="5">
        <v>43375.0</v>
      </c>
      <c r="P468" s="5">
        <v>43378.0</v>
      </c>
      <c r="R468" s="1" t="b">
        <v>0</v>
      </c>
      <c r="T468" s="1">
        <v>401.0</v>
      </c>
      <c r="U468" s="1" t="b">
        <v>0</v>
      </c>
      <c r="V468" s="1" t="s">
        <v>7608</v>
      </c>
      <c r="W468" s="1" t="s">
        <v>7609</v>
      </c>
      <c r="X468" s="1">
        <v>200.0</v>
      </c>
      <c r="Y468" s="1" t="s">
        <v>5142</v>
      </c>
      <c r="Z468" s="1" t="s">
        <v>5162</v>
      </c>
      <c r="AC468" s="1" t="s">
        <v>5077</v>
      </c>
      <c r="AD468" s="1" t="s">
        <v>5093</v>
      </c>
      <c r="AG468" s="5">
        <v>43655.0</v>
      </c>
      <c r="AH468" s="1">
        <v>322521.0</v>
      </c>
    </row>
    <row r="469">
      <c r="A469" s="1">
        <v>213501.0</v>
      </c>
      <c r="B469" s="1">
        <v>0.0</v>
      </c>
      <c r="C469" s="1" t="s">
        <v>143</v>
      </c>
      <c r="D469" s="1" t="s">
        <v>5068</v>
      </c>
      <c r="E469" s="5">
        <v>44806.0</v>
      </c>
      <c r="F469" s="1" t="s">
        <v>144</v>
      </c>
      <c r="G469" s="1" t="s">
        <v>26</v>
      </c>
      <c r="H469" s="1" t="s">
        <v>5070</v>
      </c>
      <c r="I469" s="1" t="s">
        <v>18</v>
      </c>
      <c r="J469" s="1" t="s">
        <v>24</v>
      </c>
      <c r="K469" s="6" t="s">
        <v>7610</v>
      </c>
      <c r="L469" s="6" t="s">
        <v>7611</v>
      </c>
      <c r="M469" s="1" t="s">
        <v>7612</v>
      </c>
      <c r="O469" s="5">
        <v>43221.0</v>
      </c>
      <c r="R469" s="1" t="b">
        <v>0</v>
      </c>
      <c r="T469" s="1">
        <v>401.0</v>
      </c>
      <c r="U469" s="1" t="b">
        <v>0</v>
      </c>
      <c r="V469" s="1" t="s">
        <v>7613</v>
      </c>
      <c r="W469" s="1" t="s">
        <v>7614</v>
      </c>
      <c r="X469" s="1">
        <v>200.0</v>
      </c>
      <c r="Y469" s="1" t="s">
        <v>5142</v>
      </c>
      <c r="Z469" s="1" t="s">
        <v>5162</v>
      </c>
      <c r="AC469" s="1" t="s">
        <v>5077</v>
      </c>
      <c r="AD469" s="1" t="s">
        <v>5093</v>
      </c>
      <c r="AG469" s="5">
        <v>43655.0</v>
      </c>
      <c r="AH469" s="1">
        <v>368723.0</v>
      </c>
    </row>
    <row r="470">
      <c r="A470" s="1">
        <v>213502.0</v>
      </c>
      <c r="B470" s="1">
        <v>0.0</v>
      </c>
      <c r="C470" s="1" t="s">
        <v>7615</v>
      </c>
      <c r="D470" s="1" t="s">
        <v>5068</v>
      </c>
      <c r="F470" s="1" t="s">
        <v>7616</v>
      </c>
      <c r="G470" s="1" t="s">
        <v>26</v>
      </c>
      <c r="H470" s="1" t="s">
        <v>5419</v>
      </c>
      <c r="I470" s="1" t="s">
        <v>18</v>
      </c>
      <c r="J470" s="1" t="s">
        <v>14</v>
      </c>
      <c r="K470" s="6" t="s">
        <v>7617</v>
      </c>
      <c r="L470" s="6" t="s">
        <v>7618</v>
      </c>
      <c r="M470" s="1" t="s">
        <v>7619</v>
      </c>
      <c r="O470" s="5">
        <v>43101.0</v>
      </c>
      <c r="R470" s="1" t="b">
        <v>0</v>
      </c>
      <c r="T470" s="1">
        <v>604.0</v>
      </c>
      <c r="U470" s="1" t="b">
        <v>0</v>
      </c>
      <c r="V470" s="1" t="s">
        <v>7620</v>
      </c>
      <c r="W470" s="1" t="s">
        <v>7621</v>
      </c>
      <c r="Y470" s="1" t="s">
        <v>5075</v>
      </c>
      <c r="Z470" s="1" t="s">
        <v>5173</v>
      </c>
      <c r="AC470" s="1" t="s">
        <v>5077</v>
      </c>
      <c r="AD470" s="1" t="s">
        <v>5093</v>
      </c>
      <c r="AE470" s="6" t="s">
        <v>7618</v>
      </c>
      <c r="AF470" s="6" t="s">
        <v>7618</v>
      </c>
      <c r="AG470" s="5">
        <v>43655.0</v>
      </c>
      <c r="AH470" s="1">
        <v>113044.0</v>
      </c>
    </row>
    <row r="471">
      <c r="A471" s="1">
        <v>213503.0</v>
      </c>
      <c r="B471" s="1">
        <v>0.0</v>
      </c>
      <c r="C471" s="1" t="s">
        <v>186</v>
      </c>
      <c r="D471" s="1" t="s">
        <v>5068</v>
      </c>
      <c r="E471" s="5">
        <v>44774.0</v>
      </c>
      <c r="F471" s="1" t="s">
        <v>187</v>
      </c>
      <c r="G471" s="1" t="s">
        <v>26</v>
      </c>
      <c r="H471" s="1" t="s">
        <v>5419</v>
      </c>
      <c r="I471" s="1" t="s">
        <v>18</v>
      </c>
      <c r="J471" s="1" t="s">
        <v>14</v>
      </c>
      <c r="K471" s="6" t="s">
        <v>7622</v>
      </c>
      <c r="L471" s="6" t="s">
        <v>7623</v>
      </c>
      <c r="M471" s="1" t="s">
        <v>7624</v>
      </c>
      <c r="O471" s="5">
        <v>42948.0</v>
      </c>
      <c r="R471" s="1" t="b">
        <v>0</v>
      </c>
      <c r="T471" s="1">
        <v>604.0</v>
      </c>
      <c r="U471" s="1" t="b">
        <v>0</v>
      </c>
      <c r="V471" s="1" t="s">
        <v>7625</v>
      </c>
      <c r="W471" s="1" t="s">
        <v>7626</v>
      </c>
      <c r="X471" s="1">
        <v>200.0</v>
      </c>
      <c r="Y471" s="1" t="s">
        <v>5075</v>
      </c>
      <c r="Z471" s="1" t="s">
        <v>5173</v>
      </c>
      <c r="AC471" s="1" t="s">
        <v>5077</v>
      </c>
      <c r="AD471" s="1" t="s">
        <v>5093</v>
      </c>
      <c r="AE471" s="6" t="s">
        <v>7627</v>
      </c>
      <c r="AG471" s="5">
        <v>43655.0</v>
      </c>
      <c r="AH471" s="1">
        <v>368397.0</v>
      </c>
    </row>
    <row r="472">
      <c r="A472" s="1">
        <v>213509.0</v>
      </c>
      <c r="B472" s="1">
        <v>0.0</v>
      </c>
      <c r="C472" s="1" t="s">
        <v>7628</v>
      </c>
      <c r="D472" s="1" t="s">
        <v>5068</v>
      </c>
      <c r="F472" s="1" t="s">
        <v>7629</v>
      </c>
      <c r="G472" s="1" t="s">
        <v>5136</v>
      </c>
      <c r="H472" s="1" t="s">
        <v>5102</v>
      </c>
      <c r="I472" s="1" t="s">
        <v>18</v>
      </c>
      <c r="J472" s="1" t="s">
        <v>5071</v>
      </c>
      <c r="K472" s="6" t="s">
        <v>7630</v>
      </c>
      <c r="L472" s="6" t="s">
        <v>7631</v>
      </c>
      <c r="M472" s="1" t="s">
        <v>7632</v>
      </c>
      <c r="O472" s="5">
        <v>43637.0</v>
      </c>
      <c r="P472" s="5">
        <v>43637.0</v>
      </c>
      <c r="R472" s="1" t="b">
        <v>0</v>
      </c>
      <c r="U472" s="1" t="b">
        <v>1</v>
      </c>
      <c r="V472" s="1" t="s">
        <v>7633</v>
      </c>
      <c r="W472" s="1" t="s">
        <v>7634</v>
      </c>
      <c r="X472" s="1">
        <v>200.0</v>
      </c>
      <c r="Y472" s="1" t="s">
        <v>5075</v>
      </c>
      <c r="AC472" s="1" t="s">
        <v>5077</v>
      </c>
      <c r="AD472" s="1" t="s">
        <v>5093</v>
      </c>
      <c r="AE472" s="6" t="s">
        <v>7635</v>
      </c>
      <c r="AG472" s="5">
        <v>43655.0</v>
      </c>
      <c r="AH472" s="1">
        <v>117206.0</v>
      </c>
    </row>
    <row r="473">
      <c r="A473" s="1">
        <v>213510.0</v>
      </c>
      <c r="B473" s="1">
        <v>0.0</v>
      </c>
      <c r="C473" s="1" t="s">
        <v>7636</v>
      </c>
      <c r="D473" s="1" t="s">
        <v>5081</v>
      </c>
      <c r="F473" s="1" t="s">
        <v>7637</v>
      </c>
      <c r="G473" s="1" t="s">
        <v>5136</v>
      </c>
      <c r="H473" s="1" t="s">
        <v>5102</v>
      </c>
      <c r="I473" s="1" t="s">
        <v>18</v>
      </c>
      <c r="J473" s="1" t="s">
        <v>5071</v>
      </c>
      <c r="K473" s="6" t="s">
        <v>7638</v>
      </c>
      <c r="L473" s="6" t="s">
        <v>7639</v>
      </c>
      <c r="M473" s="1" t="s">
        <v>7640</v>
      </c>
      <c r="O473" s="5">
        <v>43637.0</v>
      </c>
      <c r="P473" s="5">
        <v>43637.0</v>
      </c>
      <c r="R473" s="1" t="b">
        <v>0</v>
      </c>
      <c r="U473" s="1" t="b">
        <v>1</v>
      </c>
      <c r="V473" s="1" t="s">
        <v>7633</v>
      </c>
      <c r="W473" s="1" t="s">
        <v>7634</v>
      </c>
      <c r="X473" s="1">
        <v>200.0</v>
      </c>
      <c r="Y473" s="1" t="s">
        <v>5075</v>
      </c>
      <c r="AA473" s="1" t="s">
        <v>7629</v>
      </c>
      <c r="AE473" s="6" t="s">
        <v>7641</v>
      </c>
      <c r="AG473" s="5">
        <v>43655.0</v>
      </c>
    </row>
    <row r="474">
      <c r="A474" s="1">
        <v>213513.0</v>
      </c>
      <c r="B474" s="1">
        <v>0.0</v>
      </c>
      <c r="C474" s="1" t="s">
        <v>388</v>
      </c>
      <c r="D474" s="1" t="s">
        <v>5068</v>
      </c>
      <c r="E474" s="5">
        <v>44735.0</v>
      </c>
      <c r="F474" s="1" t="s">
        <v>389</v>
      </c>
      <c r="G474" s="1" t="s">
        <v>7642</v>
      </c>
      <c r="H474" s="1" t="s">
        <v>5102</v>
      </c>
      <c r="I474" s="1" t="s">
        <v>18</v>
      </c>
      <c r="J474" s="1" t="s">
        <v>5071</v>
      </c>
      <c r="K474" s="6" t="s">
        <v>7643</v>
      </c>
      <c r="L474" s="6" t="s">
        <v>7644</v>
      </c>
      <c r="M474" s="1" t="s">
        <v>7645</v>
      </c>
      <c r="O474" s="5">
        <v>43637.0</v>
      </c>
      <c r="P474" s="5">
        <v>43705.0</v>
      </c>
      <c r="R474" s="1" t="b">
        <v>0</v>
      </c>
      <c r="U474" s="1" t="b">
        <v>1</v>
      </c>
      <c r="V474" s="1" t="s">
        <v>7646</v>
      </c>
      <c r="W474" s="1" t="s">
        <v>7647</v>
      </c>
      <c r="X474" s="1">
        <v>408.0</v>
      </c>
      <c r="Y474" s="1" t="s">
        <v>5142</v>
      </c>
      <c r="AC474" s="1" t="s">
        <v>5077</v>
      </c>
      <c r="AD474" s="1" t="s">
        <v>5093</v>
      </c>
      <c r="AE474" s="6" t="s">
        <v>7648</v>
      </c>
      <c r="AG474" s="5">
        <v>43655.0</v>
      </c>
      <c r="AH474" s="1">
        <v>356875.0</v>
      </c>
    </row>
    <row r="475">
      <c r="A475" s="1">
        <v>213514.0</v>
      </c>
      <c r="B475" s="1">
        <v>0.0</v>
      </c>
      <c r="C475" s="1" t="s">
        <v>7649</v>
      </c>
      <c r="D475" s="1" t="s">
        <v>5081</v>
      </c>
      <c r="E475" s="5">
        <v>44735.0</v>
      </c>
      <c r="F475" s="1" t="s">
        <v>7650</v>
      </c>
      <c r="G475" s="1" t="s">
        <v>7642</v>
      </c>
      <c r="H475" s="1" t="s">
        <v>5102</v>
      </c>
      <c r="I475" s="1" t="s">
        <v>18</v>
      </c>
      <c r="J475" s="1" t="s">
        <v>5071</v>
      </c>
      <c r="K475" s="1" t="s">
        <v>5072</v>
      </c>
      <c r="L475" s="6" t="s">
        <v>7651</v>
      </c>
      <c r="M475" s="1" t="s">
        <v>7652</v>
      </c>
      <c r="O475" s="5">
        <v>43637.0</v>
      </c>
      <c r="P475" s="5">
        <v>43705.0</v>
      </c>
      <c r="R475" s="1" t="b">
        <v>0</v>
      </c>
      <c r="U475" s="1" t="b">
        <v>1</v>
      </c>
      <c r="V475" s="1" t="s">
        <v>7646</v>
      </c>
      <c r="W475" s="1" t="s">
        <v>7647</v>
      </c>
      <c r="X475" s="1">
        <v>408.0</v>
      </c>
      <c r="AA475" s="1" t="s">
        <v>389</v>
      </c>
      <c r="AE475" s="6" t="s">
        <v>7653</v>
      </c>
      <c r="AG475" s="5">
        <v>43655.0</v>
      </c>
    </row>
    <row r="476">
      <c r="A476" s="1">
        <v>213535.0</v>
      </c>
      <c r="B476" s="1">
        <v>0.0</v>
      </c>
      <c r="C476" s="1" t="s">
        <v>7298</v>
      </c>
      <c r="D476" s="1" t="s">
        <v>5068</v>
      </c>
      <c r="F476" s="1" t="s">
        <v>7654</v>
      </c>
      <c r="G476" s="1" t="s">
        <v>26</v>
      </c>
      <c r="H476" s="1" t="s">
        <v>5102</v>
      </c>
      <c r="I476" s="1" t="s">
        <v>18</v>
      </c>
      <c r="J476" s="1" t="s">
        <v>5071</v>
      </c>
      <c r="K476" s="6" t="s">
        <v>7655</v>
      </c>
      <c r="L476" s="6" t="s">
        <v>7656</v>
      </c>
      <c r="M476" s="1" t="s">
        <v>7657</v>
      </c>
      <c r="O476" s="5">
        <v>43642.0</v>
      </c>
      <c r="P476" s="5">
        <v>43678.0</v>
      </c>
      <c r="R476" s="1" t="b">
        <v>0</v>
      </c>
      <c r="T476" s="1">
        <v>4138.0</v>
      </c>
      <c r="U476" s="1" t="b">
        <v>1</v>
      </c>
      <c r="V476" s="1" t="s">
        <v>5182</v>
      </c>
      <c r="W476" s="1" t="s">
        <v>7658</v>
      </c>
      <c r="X476" s="1">
        <v>200.0</v>
      </c>
      <c r="Y476" s="1" t="s">
        <v>5075</v>
      </c>
      <c r="Z476" s="1" t="s">
        <v>6065</v>
      </c>
      <c r="AB476" s="1" t="s">
        <v>7299</v>
      </c>
      <c r="AE476" s="6" t="s">
        <v>7659</v>
      </c>
      <c r="AG476" s="5">
        <v>43655.0</v>
      </c>
    </row>
    <row r="477">
      <c r="A477" s="1">
        <v>213536.0</v>
      </c>
      <c r="B477" s="1">
        <v>0.0</v>
      </c>
      <c r="C477" s="1" t="s">
        <v>7660</v>
      </c>
      <c r="D477" s="1" t="s">
        <v>5081</v>
      </c>
      <c r="F477" s="1" t="s">
        <v>7661</v>
      </c>
      <c r="G477" s="1" t="s">
        <v>26</v>
      </c>
      <c r="H477" s="1" t="s">
        <v>5102</v>
      </c>
      <c r="I477" s="1" t="s">
        <v>18</v>
      </c>
      <c r="J477" s="1" t="s">
        <v>5071</v>
      </c>
      <c r="K477" s="6" t="s">
        <v>7662</v>
      </c>
      <c r="L477" s="6" t="s">
        <v>7663</v>
      </c>
      <c r="M477" s="1" t="s">
        <v>7664</v>
      </c>
      <c r="O477" s="5">
        <v>43642.0</v>
      </c>
      <c r="P477" s="5">
        <v>43678.0</v>
      </c>
      <c r="R477" s="1" t="b">
        <v>0</v>
      </c>
      <c r="T477" s="1">
        <v>4138.0</v>
      </c>
      <c r="U477" s="1" t="b">
        <v>1</v>
      </c>
      <c r="V477" s="1" t="s">
        <v>5182</v>
      </c>
      <c r="W477" s="1" t="s">
        <v>7658</v>
      </c>
      <c r="X477" s="1">
        <v>200.0</v>
      </c>
      <c r="Z477" s="1" t="s">
        <v>6065</v>
      </c>
      <c r="AA477" s="1" t="s">
        <v>7654</v>
      </c>
      <c r="AB477" s="1" t="s">
        <v>7306</v>
      </c>
      <c r="AE477" s="6" t="s">
        <v>7665</v>
      </c>
      <c r="AG477" s="5">
        <v>43655.0</v>
      </c>
    </row>
    <row r="478">
      <c r="A478" s="1">
        <v>213804.0</v>
      </c>
      <c r="B478" s="1">
        <v>0.0</v>
      </c>
      <c r="C478" s="1" t="s">
        <v>7577</v>
      </c>
      <c r="D478" s="1" t="s">
        <v>5068</v>
      </c>
      <c r="F478" s="1" t="s">
        <v>7666</v>
      </c>
      <c r="G478" s="1" t="s">
        <v>5136</v>
      </c>
      <c r="H478" s="1" t="s">
        <v>5102</v>
      </c>
      <c r="I478" s="1" t="s">
        <v>18</v>
      </c>
      <c r="J478" s="1" t="s">
        <v>5071</v>
      </c>
      <c r="K478" s="6" t="s">
        <v>7667</v>
      </c>
      <c r="L478" s="6" t="s">
        <v>7668</v>
      </c>
      <c r="M478" s="1" t="s">
        <v>7669</v>
      </c>
      <c r="O478" s="5">
        <v>43656.0</v>
      </c>
      <c r="P478" s="5">
        <v>43641.0</v>
      </c>
      <c r="R478" s="1" t="b">
        <v>0</v>
      </c>
      <c r="T478" s="1">
        <v>288.0</v>
      </c>
      <c r="U478" s="1" t="b">
        <v>1</v>
      </c>
      <c r="V478" s="1" t="s">
        <v>5688</v>
      </c>
      <c r="W478" s="1" t="s">
        <v>7670</v>
      </c>
      <c r="X478" s="1">
        <v>200.0</v>
      </c>
      <c r="Y478" s="1" t="s">
        <v>5075</v>
      </c>
      <c r="Z478" s="1" t="s">
        <v>5135</v>
      </c>
      <c r="AB478" s="1" t="s">
        <v>7671</v>
      </c>
      <c r="AE478" s="6" t="s">
        <v>7672</v>
      </c>
      <c r="AG478" s="5">
        <v>43663.0</v>
      </c>
    </row>
    <row r="479">
      <c r="A479" s="1">
        <v>213805.0</v>
      </c>
      <c r="B479" s="1">
        <v>0.0</v>
      </c>
      <c r="C479" s="1" t="s">
        <v>7584</v>
      </c>
      <c r="D479" s="1" t="s">
        <v>5081</v>
      </c>
      <c r="F479" s="1" t="s">
        <v>7673</v>
      </c>
      <c r="G479" s="1" t="s">
        <v>5136</v>
      </c>
      <c r="H479" s="1" t="s">
        <v>5102</v>
      </c>
      <c r="I479" s="1" t="s">
        <v>18</v>
      </c>
      <c r="J479" s="1" t="s">
        <v>5071</v>
      </c>
      <c r="K479" s="6" t="s">
        <v>7674</v>
      </c>
      <c r="L479" s="6" t="s">
        <v>7675</v>
      </c>
      <c r="M479" s="1" t="s">
        <v>7676</v>
      </c>
      <c r="O479" s="5">
        <v>43656.0</v>
      </c>
      <c r="P479" s="5">
        <v>43641.0</v>
      </c>
      <c r="R479" s="1" t="b">
        <v>0</v>
      </c>
      <c r="T479" s="1">
        <v>288.0</v>
      </c>
      <c r="U479" s="1" t="b">
        <v>1</v>
      </c>
      <c r="V479" s="1" t="s">
        <v>5688</v>
      </c>
      <c r="W479" s="1" t="s">
        <v>7670</v>
      </c>
      <c r="X479" s="1">
        <v>200.0</v>
      </c>
      <c r="Y479" s="1" t="s">
        <v>5075</v>
      </c>
      <c r="Z479" s="1" t="s">
        <v>5135</v>
      </c>
      <c r="AA479" s="1" t="s">
        <v>7666</v>
      </c>
      <c r="AB479" s="1" t="s">
        <v>7677</v>
      </c>
      <c r="AE479" s="6" t="s">
        <v>7678</v>
      </c>
      <c r="AG479" s="5">
        <v>43663.0</v>
      </c>
    </row>
    <row r="480">
      <c r="A480" s="1">
        <v>215460.0</v>
      </c>
      <c r="B480" s="1">
        <v>0.0</v>
      </c>
      <c r="C480" s="1" t="s">
        <v>7679</v>
      </c>
      <c r="D480" s="1" t="s">
        <v>5068</v>
      </c>
      <c r="F480" s="1" t="s">
        <v>7680</v>
      </c>
      <c r="G480" s="1" t="s">
        <v>26</v>
      </c>
      <c r="H480" s="1" t="s">
        <v>5116</v>
      </c>
      <c r="I480" s="1" t="s">
        <v>18</v>
      </c>
      <c r="J480" s="1" t="s">
        <v>5071</v>
      </c>
      <c r="K480" s="1" t="s">
        <v>5072</v>
      </c>
      <c r="L480" s="6" t="s">
        <v>7681</v>
      </c>
      <c r="M480" s="1" t="s">
        <v>7682</v>
      </c>
      <c r="R480" s="1" t="b">
        <v>0</v>
      </c>
      <c r="U480" s="1" t="b">
        <v>1</v>
      </c>
      <c r="V480" s="1" t="s">
        <v>6252</v>
      </c>
      <c r="X480" s="1">
        <v>200.0</v>
      </c>
      <c r="Y480" s="1" t="s">
        <v>5075</v>
      </c>
      <c r="AB480" s="1" t="s">
        <v>5879</v>
      </c>
      <c r="AG480" s="5">
        <v>43684.0</v>
      </c>
    </row>
    <row r="481">
      <c r="A481" s="1">
        <v>215461.0</v>
      </c>
      <c r="B481" s="1">
        <v>0.0</v>
      </c>
      <c r="C481" s="1" t="s">
        <v>7683</v>
      </c>
      <c r="D481" s="1" t="s">
        <v>5081</v>
      </c>
      <c r="F481" s="1" t="s">
        <v>7684</v>
      </c>
      <c r="G481" s="1" t="s">
        <v>26</v>
      </c>
      <c r="H481" s="1" t="s">
        <v>5116</v>
      </c>
      <c r="I481" s="1" t="s">
        <v>18</v>
      </c>
      <c r="J481" s="1" t="s">
        <v>5071</v>
      </c>
      <c r="K481" s="6" t="s">
        <v>7685</v>
      </c>
      <c r="L481" s="6" t="s">
        <v>7686</v>
      </c>
      <c r="M481" s="1" t="s">
        <v>7687</v>
      </c>
      <c r="R481" s="1" t="b">
        <v>0</v>
      </c>
      <c r="U481" s="1" t="b">
        <v>1</v>
      </c>
      <c r="V481" s="1" t="s">
        <v>6252</v>
      </c>
      <c r="X481" s="1">
        <v>200.0</v>
      </c>
      <c r="Y481" s="1" t="s">
        <v>5075</v>
      </c>
      <c r="AA481" s="1" t="s">
        <v>7680</v>
      </c>
      <c r="AB481" s="1" t="s">
        <v>5885</v>
      </c>
      <c r="AG481" s="5">
        <v>43684.0</v>
      </c>
    </row>
    <row r="482">
      <c r="A482" s="1">
        <v>216414.0</v>
      </c>
      <c r="B482" s="1">
        <v>0.0</v>
      </c>
      <c r="C482" s="1" t="s">
        <v>7688</v>
      </c>
      <c r="D482" s="1" t="s">
        <v>5068</v>
      </c>
      <c r="E482" s="5">
        <v>43586.0</v>
      </c>
      <c r="F482" s="1" t="s">
        <v>7689</v>
      </c>
      <c r="G482" s="1" t="s">
        <v>7690</v>
      </c>
      <c r="H482" s="1" t="s">
        <v>5116</v>
      </c>
      <c r="I482" s="1" t="s">
        <v>18</v>
      </c>
      <c r="J482" s="1" t="s">
        <v>5071</v>
      </c>
      <c r="K482" s="6" t="s">
        <v>7691</v>
      </c>
      <c r="L482" s="6" t="s">
        <v>7692</v>
      </c>
      <c r="M482" s="1" t="s">
        <v>7693</v>
      </c>
      <c r="O482" s="5">
        <v>43191.0</v>
      </c>
      <c r="R482" s="1" t="b">
        <v>0</v>
      </c>
      <c r="U482" s="1" t="b">
        <v>0</v>
      </c>
      <c r="V482" s="1" t="s">
        <v>5132</v>
      </c>
      <c r="W482" s="1" t="s">
        <v>7694</v>
      </c>
      <c r="X482" s="1">
        <v>200.0</v>
      </c>
      <c r="AB482" s="1" t="s">
        <v>7695</v>
      </c>
      <c r="AE482" s="6" t="s">
        <v>7696</v>
      </c>
      <c r="AG482" s="5">
        <v>43691.0</v>
      </c>
    </row>
    <row r="483">
      <c r="A483" s="1">
        <v>216415.0</v>
      </c>
      <c r="B483" s="1">
        <v>0.0</v>
      </c>
      <c r="C483" s="1" t="s">
        <v>7697</v>
      </c>
      <c r="D483" s="1" t="s">
        <v>5081</v>
      </c>
      <c r="E483" s="5">
        <v>43586.0</v>
      </c>
      <c r="F483" s="1" t="s">
        <v>7698</v>
      </c>
      <c r="G483" s="1" t="s">
        <v>7690</v>
      </c>
      <c r="H483" s="1" t="s">
        <v>5116</v>
      </c>
      <c r="I483" s="1" t="s">
        <v>18</v>
      </c>
      <c r="J483" s="1" t="s">
        <v>5071</v>
      </c>
      <c r="K483" s="6" t="s">
        <v>7699</v>
      </c>
      <c r="L483" s="6" t="s">
        <v>7700</v>
      </c>
      <c r="M483" s="1" t="s">
        <v>7701</v>
      </c>
      <c r="O483" s="5">
        <v>43191.0</v>
      </c>
      <c r="R483" s="1" t="b">
        <v>0</v>
      </c>
      <c r="U483" s="1" t="b">
        <v>0</v>
      </c>
      <c r="V483" s="1" t="s">
        <v>5132</v>
      </c>
      <c r="W483" s="1" t="s">
        <v>7694</v>
      </c>
      <c r="X483" s="1">
        <v>200.0</v>
      </c>
      <c r="AA483" s="1" t="s">
        <v>7689</v>
      </c>
      <c r="AB483" s="1" t="s">
        <v>7702</v>
      </c>
      <c r="AE483" s="6" t="s">
        <v>7703</v>
      </c>
      <c r="AG483" s="5">
        <v>43691.0</v>
      </c>
    </row>
    <row r="484">
      <c r="A484" s="1">
        <v>216416.0</v>
      </c>
      <c r="B484" s="1">
        <v>0.0</v>
      </c>
      <c r="C484" s="1" t="s">
        <v>7704</v>
      </c>
      <c r="D484" s="1" t="s">
        <v>5068</v>
      </c>
      <c r="E484" s="5">
        <v>43586.0</v>
      </c>
      <c r="F484" s="1" t="s">
        <v>7705</v>
      </c>
      <c r="G484" s="1" t="s">
        <v>7706</v>
      </c>
      <c r="H484" s="1" t="s">
        <v>5116</v>
      </c>
      <c r="I484" s="1" t="s">
        <v>356</v>
      </c>
      <c r="J484" s="1" t="s">
        <v>5071</v>
      </c>
      <c r="K484" s="6" t="s">
        <v>7707</v>
      </c>
      <c r="L484" s="6" t="s">
        <v>7708</v>
      </c>
      <c r="M484" s="1" t="s">
        <v>7709</v>
      </c>
      <c r="O484" s="5">
        <v>43191.0</v>
      </c>
      <c r="R484" s="1" t="b">
        <v>0</v>
      </c>
      <c r="U484" s="1" t="b">
        <v>0</v>
      </c>
      <c r="V484" s="1" t="s">
        <v>5343</v>
      </c>
      <c r="X484" s="1">
        <v>200.0</v>
      </c>
      <c r="AB484" s="1" t="s">
        <v>7710</v>
      </c>
      <c r="AE484" s="6" t="s">
        <v>7711</v>
      </c>
      <c r="AG484" s="5">
        <v>43691.0</v>
      </c>
    </row>
    <row r="485">
      <c r="A485" s="1">
        <v>216417.0</v>
      </c>
      <c r="B485" s="1">
        <v>0.0</v>
      </c>
      <c r="C485" s="1" t="s">
        <v>7712</v>
      </c>
      <c r="D485" s="1" t="s">
        <v>5081</v>
      </c>
      <c r="E485" s="5">
        <v>43586.0</v>
      </c>
      <c r="F485" s="6" t="s">
        <v>7713</v>
      </c>
      <c r="G485" s="1" t="s">
        <v>7706</v>
      </c>
      <c r="H485" s="1" t="s">
        <v>5116</v>
      </c>
      <c r="I485" s="1" t="s">
        <v>356</v>
      </c>
      <c r="J485" s="1" t="s">
        <v>5071</v>
      </c>
      <c r="K485" s="6" t="s">
        <v>7714</v>
      </c>
      <c r="L485" s="6" t="s">
        <v>7715</v>
      </c>
      <c r="M485" s="1" t="s">
        <v>7716</v>
      </c>
      <c r="O485" s="5">
        <v>43191.0</v>
      </c>
      <c r="R485" s="1" t="b">
        <v>0</v>
      </c>
      <c r="U485" s="1" t="b">
        <v>0</v>
      </c>
      <c r="V485" s="1" t="s">
        <v>5343</v>
      </c>
      <c r="X485" s="1">
        <v>200.0</v>
      </c>
      <c r="AA485" s="1" t="s">
        <v>7705</v>
      </c>
      <c r="AB485" s="1" t="s">
        <v>7717</v>
      </c>
      <c r="AE485" s="6" t="s">
        <v>7718</v>
      </c>
      <c r="AG485" s="5">
        <v>43691.0</v>
      </c>
    </row>
    <row r="486">
      <c r="A486" s="1">
        <v>216461.0</v>
      </c>
      <c r="B486" s="1">
        <v>0.0</v>
      </c>
      <c r="C486" s="1" t="s">
        <v>7719</v>
      </c>
      <c r="D486" s="1" t="s">
        <v>5068</v>
      </c>
      <c r="E486" s="5">
        <v>44105.0</v>
      </c>
      <c r="F486" s="1" t="s">
        <v>7720</v>
      </c>
      <c r="G486" s="1" t="s">
        <v>7690</v>
      </c>
      <c r="H486" s="1" t="s">
        <v>5116</v>
      </c>
      <c r="I486" s="1" t="s">
        <v>18</v>
      </c>
      <c r="J486" s="1" t="s">
        <v>5071</v>
      </c>
      <c r="K486" s="6" t="s">
        <v>7721</v>
      </c>
      <c r="L486" s="6" t="s">
        <v>7722</v>
      </c>
      <c r="M486" s="1" t="s">
        <v>7723</v>
      </c>
      <c r="O486" s="5">
        <v>43586.0</v>
      </c>
      <c r="R486" s="1" t="b">
        <v>0</v>
      </c>
      <c r="U486" s="1" t="b">
        <v>1</v>
      </c>
      <c r="V486" s="1" t="s">
        <v>5132</v>
      </c>
      <c r="W486" s="1" t="s">
        <v>7694</v>
      </c>
      <c r="X486" s="1">
        <v>200.0</v>
      </c>
      <c r="Y486" s="1" t="s">
        <v>5075</v>
      </c>
      <c r="AB486" s="1" t="s">
        <v>7689</v>
      </c>
      <c r="AE486" s="6" t="s">
        <v>7724</v>
      </c>
      <c r="AG486" s="5">
        <v>43691.0</v>
      </c>
    </row>
    <row r="487">
      <c r="A487" s="1">
        <v>216462.0</v>
      </c>
      <c r="B487" s="1">
        <v>0.0</v>
      </c>
      <c r="C487" s="1" t="s">
        <v>7725</v>
      </c>
      <c r="D487" s="1" t="s">
        <v>5081</v>
      </c>
      <c r="E487" s="5">
        <v>44105.0</v>
      </c>
      <c r="F487" s="1" t="s">
        <v>7726</v>
      </c>
      <c r="G487" s="1" t="s">
        <v>7690</v>
      </c>
      <c r="H487" s="1" t="s">
        <v>5116</v>
      </c>
      <c r="I487" s="1" t="s">
        <v>18</v>
      </c>
      <c r="J487" s="1" t="s">
        <v>5071</v>
      </c>
      <c r="K487" s="6" t="s">
        <v>7727</v>
      </c>
      <c r="L487" s="6" t="s">
        <v>7728</v>
      </c>
      <c r="M487" s="1" t="s">
        <v>7729</v>
      </c>
      <c r="O487" s="5">
        <v>43586.0</v>
      </c>
      <c r="R487" s="1" t="b">
        <v>0</v>
      </c>
      <c r="U487" s="1" t="b">
        <v>1</v>
      </c>
      <c r="V487" s="1" t="s">
        <v>5132</v>
      </c>
      <c r="W487" s="1" t="s">
        <v>7694</v>
      </c>
      <c r="X487" s="1">
        <v>200.0</v>
      </c>
      <c r="AA487" s="1" t="s">
        <v>7720</v>
      </c>
      <c r="AB487" s="1" t="s">
        <v>7698</v>
      </c>
      <c r="AE487" s="6" t="s">
        <v>7730</v>
      </c>
      <c r="AG487" s="5">
        <v>43691.0</v>
      </c>
    </row>
    <row r="488">
      <c r="A488" s="1">
        <v>216463.0</v>
      </c>
      <c r="B488" s="1">
        <v>0.0</v>
      </c>
      <c r="C488" s="1" t="s">
        <v>7704</v>
      </c>
      <c r="D488" s="1" t="s">
        <v>5068</v>
      </c>
      <c r="E488" s="5">
        <v>44106.0</v>
      </c>
      <c r="F488" s="1" t="s">
        <v>7731</v>
      </c>
      <c r="G488" s="1" t="s">
        <v>7706</v>
      </c>
      <c r="H488" s="1" t="s">
        <v>5116</v>
      </c>
      <c r="I488" s="1" t="s">
        <v>356</v>
      </c>
      <c r="J488" s="1" t="s">
        <v>5071</v>
      </c>
      <c r="K488" s="6" t="s">
        <v>7732</v>
      </c>
      <c r="L488" s="6" t="s">
        <v>7733</v>
      </c>
      <c r="M488" s="1" t="s">
        <v>7734</v>
      </c>
      <c r="O488" s="5">
        <v>43586.0</v>
      </c>
      <c r="R488" s="1" t="b">
        <v>0</v>
      </c>
      <c r="U488" s="1" t="b">
        <v>1</v>
      </c>
      <c r="V488" s="1" t="s">
        <v>5343</v>
      </c>
      <c r="X488" s="1">
        <v>200.0</v>
      </c>
      <c r="Y488" s="1" t="s">
        <v>5075</v>
      </c>
      <c r="AB488" s="1" t="s">
        <v>7705</v>
      </c>
      <c r="AE488" s="6" t="s">
        <v>7735</v>
      </c>
      <c r="AG488" s="5">
        <v>43691.0</v>
      </c>
    </row>
    <row r="489">
      <c r="A489" s="1">
        <v>216464.0</v>
      </c>
      <c r="B489" s="1">
        <v>0.0</v>
      </c>
      <c r="C489" s="1" t="s">
        <v>7712</v>
      </c>
      <c r="D489" s="1" t="s">
        <v>5081</v>
      </c>
      <c r="E489" s="5">
        <v>44106.0</v>
      </c>
      <c r="F489" s="6" t="s">
        <v>7736</v>
      </c>
      <c r="G489" s="1" t="s">
        <v>7706</v>
      </c>
      <c r="H489" s="1" t="s">
        <v>5116</v>
      </c>
      <c r="I489" s="1" t="s">
        <v>356</v>
      </c>
      <c r="J489" s="1" t="s">
        <v>5071</v>
      </c>
      <c r="K489" s="6" t="s">
        <v>7737</v>
      </c>
      <c r="L489" s="6" t="s">
        <v>7738</v>
      </c>
      <c r="M489" s="1" t="s">
        <v>7739</v>
      </c>
      <c r="O489" s="5">
        <v>43586.0</v>
      </c>
      <c r="R489" s="1" t="b">
        <v>0</v>
      </c>
      <c r="U489" s="1" t="b">
        <v>1</v>
      </c>
      <c r="V489" s="1" t="s">
        <v>5343</v>
      </c>
      <c r="X489" s="1">
        <v>200.0</v>
      </c>
      <c r="AA489" s="1" t="s">
        <v>7731</v>
      </c>
      <c r="AB489" s="6" t="s">
        <v>7713</v>
      </c>
      <c r="AE489" s="6" t="s">
        <v>7740</v>
      </c>
      <c r="AG489" s="5">
        <v>43691.0</v>
      </c>
    </row>
    <row r="490">
      <c r="A490" s="1">
        <v>216509.0</v>
      </c>
      <c r="B490" s="1">
        <v>0.0</v>
      </c>
      <c r="C490" s="1" t="s">
        <v>7741</v>
      </c>
      <c r="D490" s="1" t="s">
        <v>5068</v>
      </c>
      <c r="F490" s="1" t="s">
        <v>7742</v>
      </c>
      <c r="G490" s="1" t="s">
        <v>5136</v>
      </c>
      <c r="H490" s="1" t="s">
        <v>5116</v>
      </c>
      <c r="I490" s="1" t="s">
        <v>18</v>
      </c>
      <c r="J490" s="1" t="s">
        <v>5071</v>
      </c>
      <c r="K490" s="6" t="s">
        <v>7743</v>
      </c>
      <c r="L490" s="6" t="s">
        <v>7744</v>
      </c>
      <c r="M490" s="1" t="s">
        <v>7745</v>
      </c>
      <c r="O490" s="5">
        <v>43672.0</v>
      </c>
      <c r="R490" s="1" t="b">
        <v>0</v>
      </c>
      <c r="T490" s="1">
        <v>288.0</v>
      </c>
      <c r="U490" s="1" t="b">
        <v>0</v>
      </c>
      <c r="V490" s="1" t="s">
        <v>7746</v>
      </c>
      <c r="W490" s="1" t="s">
        <v>7747</v>
      </c>
      <c r="X490" s="1">
        <v>200.0</v>
      </c>
      <c r="Y490" s="1" t="s">
        <v>5075</v>
      </c>
      <c r="Z490" s="1" t="s">
        <v>5135</v>
      </c>
      <c r="AB490" s="1" t="s">
        <v>6195</v>
      </c>
      <c r="AC490" s="1" t="s">
        <v>5077</v>
      </c>
      <c r="AD490" s="1" t="s">
        <v>5093</v>
      </c>
      <c r="AE490" s="6" t="s">
        <v>6200</v>
      </c>
      <c r="AG490" s="5">
        <v>43691.0</v>
      </c>
      <c r="AH490" s="1">
        <v>164867.0</v>
      </c>
    </row>
    <row r="491">
      <c r="A491" s="1">
        <v>216510.0</v>
      </c>
      <c r="B491" s="1">
        <v>0.0</v>
      </c>
      <c r="C491" s="1" t="s">
        <v>7748</v>
      </c>
      <c r="D491" s="1" t="s">
        <v>5081</v>
      </c>
      <c r="F491" s="1" t="s">
        <v>7749</v>
      </c>
      <c r="G491" s="1" t="s">
        <v>5136</v>
      </c>
      <c r="H491" s="1" t="s">
        <v>5116</v>
      </c>
      <c r="I491" s="1" t="s">
        <v>18</v>
      </c>
      <c r="J491" s="1" t="s">
        <v>5071</v>
      </c>
      <c r="K491" s="6" t="s">
        <v>7750</v>
      </c>
      <c r="L491" s="6" t="s">
        <v>7751</v>
      </c>
      <c r="M491" s="1" t="s">
        <v>7752</v>
      </c>
      <c r="O491" s="5">
        <v>43672.0</v>
      </c>
      <c r="R491" s="1" t="b">
        <v>0</v>
      </c>
      <c r="T491" s="1">
        <v>288.0</v>
      </c>
      <c r="U491" s="1" t="b">
        <v>1</v>
      </c>
      <c r="V491" s="1" t="s">
        <v>7746</v>
      </c>
      <c r="W491" s="1" t="s">
        <v>7747</v>
      </c>
      <c r="X491" s="1">
        <v>200.0</v>
      </c>
      <c r="Z491" s="1" t="s">
        <v>5135</v>
      </c>
      <c r="AA491" s="1" t="s">
        <v>7742</v>
      </c>
      <c r="AB491" s="1" t="s">
        <v>6202</v>
      </c>
      <c r="AE491" s="6" t="s">
        <v>6204</v>
      </c>
      <c r="AG491" s="5">
        <v>43691.0</v>
      </c>
    </row>
    <row r="492">
      <c r="A492" s="1">
        <v>216533.0</v>
      </c>
      <c r="B492" s="1">
        <v>0.0</v>
      </c>
      <c r="C492" s="1" t="s">
        <v>7753</v>
      </c>
      <c r="D492" s="1" t="s">
        <v>5068</v>
      </c>
      <c r="F492" s="1" t="s">
        <v>7754</v>
      </c>
      <c r="G492" s="1" t="s">
        <v>26</v>
      </c>
      <c r="H492" s="1" t="s">
        <v>5070</v>
      </c>
      <c r="I492" s="1" t="s">
        <v>18</v>
      </c>
      <c r="J492" s="1" t="s">
        <v>5071</v>
      </c>
      <c r="K492" s="6" t="s">
        <v>7755</v>
      </c>
      <c r="L492" s="6" t="s">
        <v>7756</v>
      </c>
      <c r="M492" s="1" t="s">
        <v>7757</v>
      </c>
      <c r="O492" s="5">
        <v>43654.0</v>
      </c>
      <c r="R492" s="1" t="b">
        <v>0</v>
      </c>
      <c r="U492" s="1" t="b">
        <v>1</v>
      </c>
      <c r="V492" s="1" t="s">
        <v>7758</v>
      </c>
      <c r="W492" s="1" t="s">
        <v>7759</v>
      </c>
      <c r="X492" s="1">
        <v>599.0</v>
      </c>
      <c r="Y492" s="1" t="s">
        <v>5075</v>
      </c>
      <c r="AE492" s="6" t="s">
        <v>7760</v>
      </c>
      <c r="AG492" s="5">
        <v>43692.0</v>
      </c>
    </row>
    <row r="493">
      <c r="A493" s="1">
        <v>216534.0</v>
      </c>
      <c r="B493" s="1">
        <v>0.0</v>
      </c>
      <c r="C493" s="1" t="s">
        <v>7761</v>
      </c>
      <c r="D493" s="1" t="s">
        <v>5081</v>
      </c>
      <c r="F493" s="1" t="s">
        <v>7762</v>
      </c>
      <c r="G493" s="1" t="s">
        <v>26</v>
      </c>
      <c r="H493" s="1" t="s">
        <v>5070</v>
      </c>
      <c r="I493" s="1" t="s">
        <v>18</v>
      </c>
      <c r="J493" s="1" t="s">
        <v>5071</v>
      </c>
      <c r="K493" s="6" t="s">
        <v>7763</v>
      </c>
      <c r="L493" s="6" t="s">
        <v>7764</v>
      </c>
      <c r="M493" s="1" t="s">
        <v>7765</v>
      </c>
      <c r="O493" s="5">
        <v>43654.0</v>
      </c>
      <c r="R493" s="1" t="b">
        <v>0</v>
      </c>
      <c r="U493" s="1" t="b">
        <v>1</v>
      </c>
      <c r="V493" s="1" t="s">
        <v>7758</v>
      </c>
      <c r="W493" s="1" t="s">
        <v>7759</v>
      </c>
      <c r="X493" s="1">
        <v>599.0</v>
      </c>
      <c r="AA493" s="1" t="s">
        <v>7754</v>
      </c>
      <c r="AE493" s="6" t="s">
        <v>7766</v>
      </c>
      <c r="AG493" s="5">
        <v>43692.0</v>
      </c>
    </row>
    <row r="494">
      <c r="A494" s="1">
        <v>217166.0</v>
      </c>
      <c r="B494" s="1">
        <v>0.0</v>
      </c>
      <c r="C494" s="1" t="s">
        <v>7767</v>
      </c>
      <c r="D494" s="1" t="s">
        <v>5068</v>
      </c>
      <c r="E494" s="5">
        <v>43924.0</v>
      </c>
      <c r="F494" s="1" t="s">
        <v>7768</v>
      </c>
      <c r="G494" s="1" t="s">
        <v>26</v>
      </c>
      <c r="H494" s="1" t="s">
        <v>5419</v>
      </c>
      <c r="I494" s="1" t="s">
        <v>18</v>
      </c>
      <c r="J494" s="1" t="s">
        <v>21</v>
      </c>
      <c r="K494" s="6" t="s">
        <v>7769</v>
      </c>
      <c r="L494" s="6" t="s">
        <v>7770</v>
      </c>
      <c r="M494" s="1" t="s">
        <v>7771</v>
      </c>
      <c r="R494" s="1" t="b">
        <v>0</v>
      </c>
      <c r="U494" s="1" t="b">
        <v>0</v>
      </c>
      <c r="V494" s="1" t="s">
        <v>5688</v>
      </c>
      <c r="W494" s="1" t="s">
        <v>7772</v>
      </c>
      <c r="X494" s="1">
        <v>200.0</v>
      </c>
      <c r="Y494" s="1" t="s">
        <v>5075</v>
      </c>
      <c r="AG494" s="5">
        <v>43699.0</v>
      </c>
    </row>
    <row r="495">
      <c r="A495" s="1">
        <v>217499.0</v>
      </c>
      <c r="B495" s="1">
        <v>0.0</v>
      </c>
      <c r="C495" s="1" t="s">
        <v>721</v>
      </c>
      <c r="D495" s="1" t="s">
        <v>5068</v>
      </c>
      <c r="E495" s="5">
        <v>44566.0</v>
      </c>
      <c r="F495" s="1" t="s">
        <v>722</v>
      </c>
      <c r="G495" s="1" t="s">
        <v>26</v>
      </c>
      <c r="H495" s="1" t="s">
        <v>5102</v>
      </c>
      <c r="I495" s="1" t="s">
        <v>18</v>
      </c>
      <c r="J495" s="1" t="s">
        <v>5071</v>
      </c>
      <c r="K495" s="6" t="s">
        <v>7773</v>
      </c>
      <c r="L495" s="6" t="s">
        <v>7774</v>
      </c>
      <c r="M495" s="1" t="s">
        <v>7775</v>
      </c>
      <c r="O495" s="5">
        <v>43698.0</v>
      </c>
      <c r="P495" s="5">
        <v>43676.0</v>
      </c>
      <c r="Q495" s="5">
        <v>44926.0</v>
      </c>
      <c r="R495" s="1" t="b">
        <v>0</v>
      </c>
      <c r="T495" s="1">
        <v>4132.0</v>
      </c>
      <c r="U495" s="1" t="b">
        <v>1</v>
      </c>
      <c r="V495" s="1" t="s">
        <v>5153</v>
      </c>
      <c r="W495" s="1" t="s">
        <v>7776</v>
      </c>
      <c r="X495" s="1">
        <v>200.0</v>
      </c>
      <c r="Y495" s="1" t="s">
        <v>5075</v>
      </c>
      <c r="Z495" s="1" t="s">
        <v>6054</v>
      </c>
      <c r="AE495" s="6" t="s">
        <v>7777</v>
      </c>
      <c r="AG495" s="5">
        <v>43700.0</v>
      </c>
    </row>
    <row r="496">
      <c r="A496" s="1">
        <v>217500.0</v>
      </c>
      <c r="B496" s="1">
        <v>0.0</v>
      </c>
      <c r="C496" s="1" t="s">
        <v>7778</v>
      </c>
      <c r="D496" s="1" t="s">
        <v>5081</v>
      </c>
      <c r="E496" s="5">
        <v>44566.0</v>
      </c>
      <c r="F496" s="1" t="s">
        <v>7779</v>
      </c>
      <c r="G496" s="1" t="s">
        <v>26</v>
      </c>
      <c r="H496" s="1" t="s">
        <v>5102</v>
      </c>
      <c r="I496" s="1" t="s">
        <v>18</v>
      </c>
      <c r="J496" s="1" t="s">
        <v>5071</v>
      </c>
      <c r="K496" s="6" t="s">
        <v>7780</v>
      </c>
      <c r="L496" s="6" t="s">
        <v>7781</v>
      </c>
      <c r="M496" s="1" t="s">
        <v>7782</v>
      </c>
      <c r="O496" s="5">
        <v>43698.0</v>
      </c>
      <c r="P496" s="5">
        <v>43676.0</v>
      </c>
      <c r="Q496" s="5">
        <v>44926.0</v>
      </c>
      <c r="R496" s="1" t="b">
        <v>0</v>
      </c>
      <c r="T496" s="1">
        <v>4132.0</v>
      </c>
      <c r="U496" s="1" t="b">
        <v>1</v>
      </c>
      <c r="V496" s="1" t="s">
        <v>5153</v>
      </c>
      <c r="W496" s="1" t="s">
        <v>7776</v>
      </c>
      <c r="X496" s="1">
        <v>200.0</v>
      </c>
      <c r="Z496" s="1" t="s">
        <v>6054</v>
      </c>
      <c r="AA496" s="1" t="s">
        <v>722</v>
      </c>
      <c r="AE496" s="6" t="s">
        <v>7783</v>
      </c>
      <c r="AG496" s="5">
        <v>43700.0</v>
      </c>
    </row>
    <row r="497">
      <c r="A497" s="1">
        <v>217503.0</v>
      </c>
      <c r="B497" s="1">
        <v>0.0</v>
      </c>
      <c r="C497" s="1" t="s">
        <v>7784</v>
      </c>
      <c r="D497" s="1" t="s">
        <v>5068</v>
      </c>
      <c r="F497" s="1" t="s">
        <v>7785</v>
      </c>
      <c r="G497" s="1" t="s">
        <v>7642</v>
      </c>
      <c r="H497" s="1" t="s">
        <v>5102</v>
      </c>
      <c r="I497" s="1" t="s">
        <v>18</v>
      </c>
      <c r="J497" s="1" t="s">
        <v>5071</v>
      </c>
      <c r="K497" s="6" t="s">
        <v>7786</v>
      </c>
      <c r="L497" s="6" t="s">
        <v>7787</v>
      </c>
      <c r="M497" s="1" t="s">
        <v>7788</v>
      </c>
      <c r="O497" s="5">
        <v>43698.0</v>
      </c>
      <c r="P497" s="5">
        <v>43705.0</v>
      </c>
      <c r="R497" s="1" t="b">
        <v>0</v>
      </c>
      <c r="T497" s="1">
        <v>213069.0</v>
      </c>
      <c r="U497" s="1" t="b">
        <v>1</v>
      </c>
      <c r="V497" s="1" t="s">
        <v>7789</v>
      </c>
      <c r="W497" s="1" t="s">
        <v>7790</v>
      </c>
      <c r="X497" s="1">
        <v>200.0</v>
      </c>
      <c r="Y497" s="1" t="s">
        <v>5075</v>
      </c>
      <c r="Z497" s="1" t="s">
        <v>7791</v>
      </c>
      <c r="AE497" s="6" t="s">
        <v>7792</v>
      </c>
      <c r="AG497" s="5">
        <v>43700.0</v>
      </c>
    </row>
    <row r="498">
      <c r="A498" s="1">
        <v>217504.0</v>
      </c>
      <c r="B498" s="1">
        <v>0.0</v>
      </c>
      <c r="C498" s="1" t="s">
        <v>7793</v>
      </c>
      <c r="D498" s="1" t="s">
        <v>5081</v>
      </c>
      <c r="F498" s="1" t="s">
        <v>7794</v>
      </c>
      <c r="G498" s="1" t="s">
        <v>7642</v>
      </c>
      <c r="H498" s="1" t="s">
        <v>5102</v>
      </c>
      <c r="I498" s="1" t="s">
        <v>18</v>
      </c>
      <c r="J498" s="1" t="s">
        <v>5071</v>
      </c>
      <c r="K498" s="6" t="s">
        <v>7795</v>
      </c>
      <c r="L498" s="6" t="s">
        <v>7796</v>
      </c>
      <c r="M498" s="1" t="s">
        <v>7797</v>
      </c>
      <c r="O498" s="5">
        <v>43698.0</v>
      </c>
      <c r="P498" s="5">
        <v>43705.0</v>
      </c>
      <c r="R498" s="1" t="b">
        <v>0</v>
      </c>
      <c r="T498" s="1">
        <v>213069.0</v>
      </c>
      <c r="U498" s="1" t="b">
        <v>1</v>
      </c>
      <c r="V498" s="1" t="s">
        <v>7789</v>
      </c>
      <c r="W498" s="1" t="s">
        <v>7790</v>
      </c>
      <c r="X498" s="1">
        <v>200.0</v>
      </c>
      <c r="Z498" s="1" t="s">
        <v>7791</v>
      </c>
      <c r="AA498" s="1" t="s">
        <v>7785</v>
      </c>
      <c r="AE498" s="6" t="s">
        <v>7798</v>
      </c>
      <c r="AG498" s="5">
        <v>43700.0</v>
      </c>
    </row>
    <row r="499">
      <c r="A499" s="1">
        <v>218769.0</v>
      </c>
      <c r="B499" s="1">
        <v>0.0</v>
      </c>
      <c r="C499" s="1" t="s">
        <v>7799</v>
      </c>
      <c r="D499" s="1" t="s">
        <v>5068</v>
      </c>
      <c r="F499" s="1" t="s">
        <v>7800</v>
      </c>
      <c r="G499" s="1" t="s">
        <v>5122</v>
      </c>
      <c r="H499" s="1" t="s">
        <v>5070</v>
      </c>
      <c r="I499" s="1" t="s">
        <v>18</v>
      </c>
      <c r="J499" s="1" t="s">
        <v>5071</v>
      </c>
      <c r="K499" s="6" t="s">
        <v>7801</v>
      </c>
      <c r="L499" s="6" t="s">
        <v>7802</v>
      </c>
      <c r="M499" s="1" t="s">
        <v>7803</v>
      </c>
      <c r="O499" s="5">
        <v>43699.0</v>
      </c>
      <c r="R499" s="1" t="b">
        <v>0</v>
      </c>
      <c r="U499" s="1" t="b">
        <v>1</v>
      </c>
      <c r="V499" s="1" t="s">
        <v>5688</v>
      </c>
      <c r="W499" s="1" t="s">
        <v>7804</v>
      </c>
      <c r="X499" s="1">
        <v>200.0</v>
      </c>
      <c r="Y499" s="1" t="s">
        <v>5075</v>
      </c>
      <c r="AB499" s="1" t="s">
        <v>75</v>
      </c>
      <c r="AG499" s="5">
        <v>43714.0</v>
      </c>
    </row>
    <row r="500">
      <c r="A500" s="1">
        <v>218770.0</v>
      </c>
      <c r="B500" s="1">
        <v>0.0</v>
      </c>
      <c r="C500" s="1" t="s">
        <v>7805</v>
      </c>
      <c r="D500" s="1" t="s">
        <v>5081</v>
      </c>
      <c r="F500" s="1" t="s">
        <v>7806</v>
      </c>
      <c r="G500" s="1" t="s">
        <v>5122</v>
      </c>
      <c r="H500" s="1" t="s">
        <v>5070</v>
      </c>
      <c r="I500" s="1" t="s">
        <v>18</v>
      </c>
      <c r="J500" s="1" t="s">
        <v>5071</v>
      </c>
      <c r="K500" s="6" t="s">
        <v>7807</v>
      </c>
      <c r="L500" s="6" t="s">
        <v>7808</v>
      </c>
      <c r="M500" s="1" t="s">
        <v>7809</v>
      </c>
      <c r="O500" s="5">
        <v>43699.0</v>
      </c>
      <c r="R500" s="1" t="b">
        <v>0</v>
      </c>
      <c r="U500" s="1" t="b">
        <v>1</v>
      </c>
      <c r="V500" s="1" t="s">
        <v>5688</v>
      </c>
      <c r="W500" s="1" t="s">
        <v>7804</v>
      </c>
      <c r="X500" s="1">
        <v>200.0</v>
      </c>
      <c r="AA500" s="1" t="s">
        <v>7800</v>
      </c>
      <c r="AB500" s="1" t="s">
        <v>5784</v>
      </c>
      <c r="AG500" s="5">
        <v>43714.0</v>
      </c>
    </row>
    <row r="501">
      <c r="A501" s="1">
        <v>219513.0</v>
      </c>
      <c r="B501" s="1">
        <v>0.0</v>
      </c>
      <c r="C501" s="1" t="s">
        <v>7810</v>
      </c>
      <c r="D501" s="1" t="s">
        <v>5068</v>
      </c>
      <c r="F501" s="1" t="s">
        <v>7811</v>
      </c>
      <c r="G501" s="1" t="s">
        <v>26</v>
      </c>
      <c r="H501" s="1" t="s">
        <v>5102</v>
      </c>
      <c r="I501" s="1" t="s">
        <v>516</v>
      </c>
      <c r="J501" s="1" t="s">
        <v>21</v>
      </c>
      <c r="K501" s="6" t="s">
        <v>7812</v>
      </c>
      <c r="L501" s="6" t="s">
        <v>7813</v>
      </c>
      <c r="M501" s="1" t="s">
        <v>7814</v>
      </c>
      <c r="O501" s="5">
        <v>43714.0</v>
      </c>
      <c r="R501" s="1" t="b">
        <v>1</v>
      </c>
      <c r="U501" s="1" t="b">
        <v>0</v>
      </c>
      <c r="V501" s="1" t="s">
        <v>6982</v>
      </c>
      <c r="X501" s="1">
        <v>200.0</v>
      </c>
      <c r="AE501" s="6" t="s">
        <v>7815</v>
      </c>
      <c r="AG501" s="5">
        <v>43724.0</v>
      </c>
    </row>
    <row r="502">
      <c r="A502" s="1">
        <v>220175.0</v>
      </c>
      <c r="B502" s="1">
        <v>0.0</v>
      </c>
      <c r="C502" s="1" t="s">
        <v>7816</v>
      </c>
      <c r="D502" s="1" t="s">
        <v>5068</v>
      </c>
      <c r="F502" s="1" t="s">
        <v>7817</v>
      </c>
      <c r="G502" s="1" t="s">
        <v>26</v>
      </c>
      <c r="H502" s="1" t="s">
        <v>5102</v>
      </c>
      <c r="I502" s="1" t="s">
        <v>516</v>
      </c>
      <c r="J502" s="1" t="s">
        <v>14</v>
      </c>
      <c r="K502" s="6" t="s">
        <v>7818</v>
      </c>
      <c r="L502" s="6" t="s">
        <v>7819</v>
      </c>
      <c r="M502" s="1" t="s">
        <v>7820</v>
      </c>
      <c r="R502" s="1" t="b">
        <v>1</v>
      </c>
      <c r="U502" s="1" t="b">
        <v>0</v>
      </c>
      <c r="V502" s="1" t="s">
        <v>6982</v>
      </c>
      <c r="X502" s="1">
        <v>200.0</v>
      </c>
      <c r="AG502" s="5">
        <v>43731.0</v>
      </c>
    </row>
    <row r="503">
      <c r="A503" s="1">
        <v>220751.0</v>
      </c>
      <c r="B503" s="1">
        <v>0.0</v>
      </c>
      <c r="C503" s="1" t="s">
        <v>7821</v>
      </c>
      <c r="D503" s="1" t="s">
        <v>5068</v>
      </c>
      <c r="F503" s="1" t="s">
        <v>7822</v>
      </c>
      <c r="G503" s="1" t="s">
        <v>26</v>
      </c>
      <c r="H503" s="1" t="s">
        <v>5070</v>
      </c>
      <c r="I503" s="1" t="s">
        <v>18</v>
      </c>
      <c r="J503" s="1" t="s">
        <v>21</v>
      </c>
      <c r="K503" s="6" t="s">
        <v>7823</v>
      </c>
      <c r="L503" s="6" t="s">
        <v>7824</v>
      </c>
      <c r="M503" s="1" t="s">
        <v>7825</v>
      </c>
      <c r="O503" s="5">
        <v>41870.0</v>
      </c>
      <c r="R503" s="1" t="b">
        <v>0</v>
      </c>
      <c r="T503" s="1">
        <v>609.0</v>
      </c>
      <c r="U503" s="1" t="b">
        <v>0</v>
      </c>
      <c r="V503" s="1" t="s">
        <v>7826</v>
      </c>
      <c r="W503" s="1" t="s">
        <v>7827</v>
      </c>
      <c r="X503" s="1">
        <v>200.0</v>
      </c>
      <c r="Y503" s="1" t="s">
        <v>5075</v>
      </c>
      <c r="Z503" s="1" t="s">
        <v>758</v>
      </c>
      <c r="AG503" s="5">
        <v>43740.0</v>
      </c>
    </row>
    <row r="504">
      <c r="A504" s="1">
        <v>220766.0</v>
      </c>
      <c r="B504" s="1">
        <v>0.0</v>
      </c>
      <c r="C504" s="1" t="s">
        <v>7828</v>
      </c>
      <c r="D504" s="1" t="s">
        <v>5068</v>
      </c>
      <c r="F504" s="1" t="s">
        <v>7829</v>
      </c>
      <c r="G504" s="1" t="s">
        <v>5257</v>
      </c>
      <c r="H504" s="1" t="s">
        <v>5102</v>
      </c>
      <c r="I504" s="1" t="s">
        <v>516</v>
      </c>
      <c r="J504" s="1" t="s">
        <v>202</v>
      </c>
      <c r="K504" s="6" t="s">
        <v>7830</v>
      </c>
      <c r="L504" s="6" t="s">
        <v>7831</v>
      </c>
      <c r="M504" s="1" t="s">
        <v>7832</v>
      </c>
      <c r="O504" s="5">
        <v>43740.0</v>
      </c>
      <c r="R504" s="1" t="b">
        <v>1</v>
      </c>
      <c r="U504" s="1" t="b">
        <v>0</v>
      </c>
      <c r="V504" s="1" t="s">
        <v>6982</v>
      </c>
      <c r="X504" s="1">
        <v>200.0</v>
      </c>
      <c r="AG504" s="5">
        <v>43740.0</v>
      </c>
    </row>
    <row r="505">
      <c r="A505" s="1">
        <v>220767.0</v>
      </c>
      <c r="B505" s="1">
        <v>0.0</v>
      </c>
      <c r="C505" s="1" t="s">
        <v>7833</v>
      </c>
      <c r="D505" s="1" t="s">
        <v>5081</v>
      </c>
      <c r="F505" s="1" t="s">
        <v>7834</v>
      </c>
      <c r="G505" s="1" t="s">
        <v>5257</v>
      </c>
      <c r="H505" s="1" t="s">
        <v>5102</v>
      </c>
      <c r="I505" s="1" t="s">
        <v>516</v>
      </c>
      <c r="J505" s="1" t="s">
        <v>202</v>
      </c>
      <c r="K505" s="6" t="s">
        <v>7835</v>
      </c>
      <c r="L505" s="6" t="s">
        <v>7836</v>
      </c>
      <c r="M505" s="1" t="s">
        <v>7837</v>
      </c>
      <c r="O505" s="5">
        <v>43740.0</v>
      </c>
      <c r="R505" s="1" t="b">
        <v>1</v>
      </c>
      <c r="U505" s="1" t="b">
        <v>0</v>
      </c>
      <c r="V505" s="1" t="s">
        <v>6982</v>
      </c>
      <c r="X505" s="1">
        <v>200.0</v>
      </c>
      <c r="AA505" s="1" t="s">
        <v>7829</v>
      </c>
      <c r="AG505" s="5">
        <v>43740.0</v>
      </c>
    </row>
    <row r="506">
      <c r="A506" s="1">
        <v>223283.0</v>
      </c>
      <c r="B506" s="1">
        <v>0.0</v>
      </c>
      <c r="C506" s="1" t="s">
        <v>7838</v>
      </c>
      <c r="D506" s="1" t="s">
        <v>5068</v>
      </c>
      <c r="F506" s="1" t="s">
        <v>7839</v>
      </c>
      <c r="G506" s="1" t="s">
        <v>26</v>
      </c>
      <c r="H506" s="1" t="s">
        <v>5102</v>
      </c>
      <c r="I506" s="1" t="s">
        <v>516</v>
      </c>
      <c r="J506" s="1" t="s">
        <v>14</v>
      </c>
      <c r="K506" s="6" t="s">
        <v>7840</v>
      </c>
      <c r="L506" s="6" t="s">
        <v>7841</v>
      </c>
      <c r="M506" s="1" t="s">
        <v>7842</v>
      </c>
      <c r="R506" s="1" t="b">
        <v>1</v>
      </c>
      <c r="U506" s="1" t="b">
        <v>0</v>
      </c>
      <c r="V506" s="1" t="s">
        <v>6982</v>
      </c>
      <c r="X506" s="1">
        <v>200.0</v>
      </c>
      <c r="AG506" s="5">
        <v>43776.0</v>
      </c>
    </row>
    <row r="507">
      <c r="A507" s="1">
        <v>226393.0</v>
      </c>
      <c r="B507" s="1">
        <v>0.0</v>
      </c>
      <c r="C507" s="1" t="s">
        <v>7843</v>
      </c>
      <c r="D507" s="1" t="s">
        <v>5068</v>
      </c>
      <c r="F507" s="1" t="s">
        <v>7844</v>
      </c>
      <c r="G507" s="1" t="s">
        <v>7642</v>
      </c>
      <c r="H507" s="1" t="s">
        <v>5102</v>
      </c>
      <c r="I507" s="1" t="s">
        <v>18</v>
      </c>
      <c r="J507" s="1" t="s">
        <v>5071</v>
      </c>
      <c r="K507" s="6" t="s">
        <v>7845</v>
      </c>
      <c r="L507" s="6" t="s">
        <v>7846</v>
      </c>
      <c r="M507" s="1" t="s">
        <v>7847</v>
      </c>
      <c r="O507" s="5">
        <v>43810.0</v>
      </c>
      <c r="P507" s="5">
        <v>43801.0</v>
      </c>
      <c r="R507" s="1" t="b">
        <v>0</v>
      </c>
      <c r="T507" s="1">
        <v>213513.0</v>
      </c>
      <c r="U507" s="1" t="b">
        <v>1</v>
      </c>
      <c r="V507" s="1" t="s">
        <v>5688</v>
      </c>
      <c r="W507" s="1" t="s">
        <v>7848</v>
      </c>
      <c r="X507" s="1">
        <v>200.0</v>
      </c>
      <c r="Y507" s="1" t="s">
        <v>5075</v>
      </c>
      <c r="Z507" s="1" t="s">
        <v>389</v>
      </c>
      <c r="AE507" s="6" t="s">
        <v>7849</v>
      </c>
      <c r="AG507" s="5">
        <v>43810.0</v>
      </c>
    </row>
    <row r="508">
      <c r="A508" s="1">
        <v>226394.0</v>
      </c>
      <c r="B508" s="1">
        <v>0.0</v>
      </c>
      <c r="C508" s="1" t="s">
        <v>7850</v>
      </c>
      <c r="D508" s="1" t="s">
        <v>5081</v>
      </c>
      <c r="F508" s="1" t="s">
        <v>7851</v>
      </c>
      <c r="G508" s="1" t="s">
        <v>7642</v>
      </c>
      <c r="H508" s="1" t="s">
        <v>5102</v>
      </c>
      <c r="I508" s="1" t="s">
        <v>18</v>
      </c>
      <c r="J508" s="1" t="s">
        <v>5071</v>
      </c>
      <c r="K508" s="6" t="s">
        <v>7852</v>
      </c>
      <c r="L508" s="6" t="s">
        <v>7853</v>
      </c>
      <c r="M508" s="1" t="s">
        <v>7854</v>
      </c>
      <c r="O508" s="5">
        <v>43810.0</v>
      </c>
      <c r="P508" s="5">
        <v>43801.0</v>
      </c>
      <c r="R508" s="1" t="b">
        <v>0</v>
      </c>
      <c r="T508" s="1">
        <v>213513.0</v>
      </c>
      <c r="U508" s="1" t="b">
        <v>1</v>
      </c>
      <c r="V508" s="1" t="s">
        <v>5688</v>
      </c>
      <c r="W508" s="1" t="s">
        <v>7848</v>
      </c>
      <c r="X508" s="1">
        <v>200.0</v>
      </c>
      <c r="Y508" s="1" t="s">
        <v>5075</v>
      </c>
      <c r="Z508" s="1" t="s">
        <v>389</v>
      </c>
      <c r="AA508" s="1" t="s">
        <v>7844</v>
      </c>
      <c r="AE508" s="6" t="s">
        <v>7849</v>
      </c>
      <c r="AG508" s="5">
        <v>43810.0</v>
      </c>
    </row>
    <row r="509">
      <c r="A509" s="1">
        <v>235228.0</v>
      </c>
      <c r="B509" s="1">
        <v>0.0</v>
      </c>
      <c r="C509" s="1" t="s">
        <v>7855</v>
      </c>
      <c r="D509" s="1" t="s">
        <v>5068</v>
      </c>
      <c r="F509" s="1" t="s">
        <v>7856</v>
      </c>
      <c r="G509" s="1" t="s">
        <v>26</v>
      </c>
      <c r="H509" s="1" t="s">
        <v>5102</v>
      </c>
      <c r="I509" s="1" t="s">
        <v>18</v>
      </c>
      <c r="J509" s="1" t="s">
        <v>14</v>
      </c>
      <c r="K509" s="6" t="s">
        <v>7857</v>
      </c>
      <c r="L509" s="6" t="s">
        <v>7858</v>
      </c>
      <c r="M509" s="1" t="s">
        <v>7859</v>
      </c>
      <c r="O509" s="5">
        <v>43854.0</v>
      </c>
      <c r="P509" s="5">
        <v>43850.0</v>
      </c>
      <c r="R509" s="1" t="b">
        <v>0</v>
      </c>
      <c r="T509" s="1">
        <v>183942.0</v>
      </c>
      <c r="U509" s="1" t="b">
        <v>1</v>
      </c>
      <c r="V509" s="1" t="s">
        <v>5663</v>
      </c>
      <c r="W509" s="1" t="s">
        <v>7860</v>
      </c>
      <c r="X509" s="1">
        <v>200.0</v>
      </c>
      <c r="Y509" s="1" t="s">
        <v>5075</v>
      </c>
      <c r="Z509" s="1" t="s">
        <v>6985</v>
      </c>
      <c r="AB509" s="1" t="s">
        <v>6991</v>
      </c>
      <c r="AC509" s="1" t="s">
        <v>5077</v>
      </c>
      <c r="AD509" s="1" t="s">
        <v>5093</v>
      </c>
      <c r="AE509" s="6" t="s">
        <v>7861</v>
      </c>
      <c r="AG509" s="5">
        <v>43865.0</v>
      </c>
      <c r="AH509" s="1">
        <v>171630.0</v>
      </c>
    </row>
    <row r="510">
      <c r="A510" s="1">
        <v>236033.0</v>
      </c>
      <c r="B510" s="1">
        <v>0.0</v>
      </c>
      <c r="C510" s="1" t="s">
        <v>7862</v>
      </c>
      <c r="D510" s="1" t="s">
        <v>5068</v>
      </c>
      <c r="F510" s="1" t="s">
        <v>7863</v>
      </c>
      <c r="G510" s="1" t="s">
        <v>7864</v>
      </c>
      <c r="H510" s="1" t="s">
        <v>5102</v>
      </c>
      <c r="I510" s="1" t="s">
        <v>516</v>
      </c>
      <c r="J510" s="1" t="s">
        <v>70</v>
      </c>
      <c r="K510" s="6" t="s">
        <v>7865</v>
      </c>
      <c r="L510" s="6" t="s">
        <v>7866</v>
      </c>
      <c r="M510" s="1" t="s">
        <v>7867</v>
      </c>
      <c r="O510" s="5">
        <v>43858.0</v>
      </c>
      <c r="R510" s="1" t="b">
        <v>1</v>
      </c>
      <c r="U510" s="1" t="b">
        <v>0</v>
      </c>
      <c r="V510" s="1" t="s">
        <v>6982</v>
      </c>
      <c r="X510" s="1">
        <v>200.0</v>
      </c>
      <c r="AG510" s="5">
        <v>43872.0</v>
      </c>
    </row>
    <row r="511">
      <c r="A511" s="1">
        <v>236672.0</v>
      </c>
      <c r="B511" s="1">
        <v>0.0</v>
      </c>
      <c r="C511" s="1" t="s">
        <v>7868</v>
      </c>
      <c r="D511" s="1" t="s">
        <v>5068</v>
      </c>
      <c r="F511" s="1" t="s">
        <v>7869</v>
      </c>
      <c r="G511" s="1" t="s">
        <v>26</v>
      </c>
      <c r="H511" s="1" t="s">
        <v>5070</v>
      </c>
      <c r="I511" s="1" t="s">
        <v>18</v>
      </c>
      <c r="J511" s="1" t="s">
        <v>24</v>
      </c>
      <c r="K511" s="6" t="s">
        <v>7870</v>
      </c>
      <c r="L511" s="6" t="s">
        <v>7871</v>
      </c>
      <c r="M511" s="1" t="s">
        <v>7872</v>
      </c>
      <c r="O511" s="5">
        <v>43647.0</v>
      </c>
      <c r="R511" s="1" t="b">
        <v>0</v>
      </c>
      <c r="U511" s="1" t="b">
        <v>0</v>
      </c>
      <c r="V511" s="1" t="s">
        <v>5644</v>
      </c>
      <c r="W511" s="1" t="s">
        <v>7873</v>
      </c>
      <c r="X511" s="1">
        <v>200.0</v>
      </c>
      <c r="Y511" s="1" t="s">
        <v>5142</v>
      </c>
      <c r="AC511" s="1" t="s">
        <v>5077</v>
      </c>
      <c r="AD511" s="1" t="s">
        <v>5093</v>
      </c>
      <c r="AG511" s="5">
        <v>43882.0</v>
      </c>
      <c r="AH511" s="1">
        <v>172269.0</v>
      </c>
    </row>
    <row r="512">
      <c r="A512" s="1">
        <v>236673.0</v>
      </c>
      <c r="B512" s="1">
        <v>0.0</v>
      </c>
      <c r="C512" s="1" t="s">
        <v>7874</v>
      </c>
      <c r="D512" s="1" t="s">
        <v>5068</v>
      </c>
      <c r="F512" s="1" t="s">
        <v>7875</v>
      </c>
      <c r="G512" s="1" t="s">
        <v>26</v>
      </c>
      <c r="H512" s="1" t="s">
        <v>5070</v>
      </c>
      <c r="I512" s="1" t="s">
        <v>18</v>
      </c>
      <c r="J512" s="1" t="s">
        <v>21</v>
      </c>
      <c r="K512" s="6" t="s">
        <v>7876</v>
      </c>
      <c r="L512" s="6" t="s">
        <v>7877</v>
      </c>
      <c r="M512" s="1" t="s">
        <v>7878</v>
      </c>
      <c r="O512" s="5">
        <v>41730.0</v>
      </c>
      <c r="R512" s="1" t="b">
        <v>0</v>
      </c>
      <c r="U512" s="1" t="b">
        <v>0</v>
      </c>
      <c r="V512" s="1" t="s">
        <v>5119</v>
      </c>
      <c r="W512" s="1" t="s">
        <v>7879</v>
      </c>
      <c r="X512" s="1">
        <v>200.0</v>
      </c>
      <c r="Y512" s="1" t="s">
        <v>5142</v>
      </c>
      <c r="AC512" s="1" t="s">
        <v>5077</v>
      </c>
      <c r="AD512" s="1" t="s">
        <v>5093</v>
      </c>
      <c r="AG512" s="5">
        <v>43882.0</v>
      </c>
      <c r="AH512" s="1">
        <v>172277.0</v>
      </c>
    </row>
    <row r="513">
      <c r="A513" s="1">
        <v>237391.0</v>
      </c>
      <c r="B513" s="1">
        <v>0.0</v>
      </c>
      <c r="C513" s="1" t="s">
        <v>7880</v>
      </c>
      <c r="D513" s="1" t="s">
        <v>5068</v>
      </c>
      <c r="F513" s="1" t="s">
        <v>7881</v>
      </c>
      <c r="G513" s="1" t="s">
        <v>5136</v>
      </c>
      <c r="H513" s="1" t="s">
        <v>5102</v>
      </c>
      <c r="I513" s="1" t="s">
        <v>516</v>
      </c>
      <c r="J513" s="1" t="s">
        <v>5071</v>
      </c>
      <c r="K513" s="6" t="s">
        <v>7882</v>
      </c>
      <c r="L513" s="6" t="s">
        <v>7883</v>
      </c>
      <c r="M513" s="1" t="s">
        <v>7884</v>
      </c>
      <c r="O513" s="5">
        <v>43887.0</v>
      </c>
      <c r="R513" s="1" t="b">
        <v>1</v>
      </c>
      <c r="U513" s="1" t="b">
        <v>0</v>
      </c>
      <c r="V513" s="1" t="s">
        <v>6982</v>
      </c>
      <c r="X513" s="1">
        <v>200.0</v>
      </c>
      <c r="AE513" s="6" t="s">
        <v>7885</v>
      </c>
      <c r="AG513" s="5">
        <v>43888.0</v>
      </c>
    </row>
    <row r="514">
      <c r="A514" s="1">
        <v>237392.0</v>
      </c>
      <c r="B514" s="1">
        <v>0.0</v>
      </c>
      <c r="C514" s="1" t="s">
        <v>7886</v>
      </c>
      <c r="D514" s="1" t="s">
        <v>5081</v>
      </c>
      <c r="F514" s="1" t="s">
        <v>7887</v>
      </c>
      <c r="G514" s="1" t="s">
        <v>5136</v>
      </c>
      <c r="H514" s="1" t="s">
        <v>5102</v>
      </c>
      <c r="I514" s="1" t="s">
        <v>516</v>
      </c>
      <c r="J514" s="1" t="s">
        <v>5071</v>
      </c>
      <c r="K514" s="6" t="s">
        <v>7888</v>
      </c>
      <c r="L514" s="6" t="s">
        <v>7889</v>
      </c>
      <c r="M514" s="1" t="s">
        <v>7890</v>
      </c>
      <c r="O514" s="5">
        <v>43887.0</v>
      </c>
      <c r="R514" s="1" t="b">
        <v>1</v>
      </c>
      <c r="U514" s="1" t="b">
        <v>0</v>
      </c>
      <c r="V514" s="1" t="s">
        <v>6982</v>
      </c>
      <c r="X514" s="1">
        <v>200.0</v>
      </c>
      <c r="AA514" s="1" t="s">
        <v>7881</v>
      </c>
      <c r="AE514" s="6" t="s">
        <v>7891</v>
      </c>
      <c r="AG514" s="5">
        <v>43888.0</v>
      </c>
    </row>
    <row r="515">
      <c r="A515" s="1">
        <v>237514.0</v>
      </c>
      <c r="B515" s="1">
        <v>0.0</v>
      </c>
      <c r="C515" s="1" t="s">
        <v>7892</v>
      </c>
      <c r="D515" s="1" t="s">
        <v>5068</v>
      </c>
      <c r="F515" s="1" t="s">
        <v>7893</v>
      </c>
      <c r="G515" s="1" t="s">
        <v>5122</v>
      </c>
      <c r="H515" s="1" t="s">
        <v>5102</v>
      </c>
      <c r="I515" s="1" t="s">
        <v>18</v>
      </c>
      <c r="J515" s="1" t="s">
        <v>5071</v>
      </c>
      <c r="K515" s="6" t="s">
        <v>7894</v>
      </c>
      <c r="L515" s="6" t="s">
        <v>7895</v>
      </c>
      <c r="M515" s="1" t="s">
        <v>7896</v>
      </c>
      <c r="O515" s="5">
        <v>43810.0</v>
      </c>
      <c r="P515" s="5">
        <v>43906.0</v>
      </c>
      <c r="R515" s="1" t="b">
        <v>0</v>
      </c>
      <c r="T515" s="1">
        <v>213513.0</v>
      </c>
      <c r="U515" s="1" t="b">
        <v>1</v>
      </c>
      <c r="V515" s="1" t="s">
        <v>7897</v>
      </c>
      <c r="W515" s="1" t="s">
        <v>7898</v>
      </c>
      <c r="X515" s="1">
        <v>200.0</v>
      </c>
      <c r="Y515" s="1" t="s">
        <v>5075</v>
      </c>
      <c r="Z515" s="1" t="s">
        <v>389</v>
      </c>
      <c r="AC515" s="1" t="s">
        <v>5077</v>
      </c>
      <c r="AD515" s="1" t="s">
        <v>5078</v>
      </c>
      <c r="AG515" s="5">
        <v>43893.0</v>
      </c>
      <c r="AH515" s="1">
        <v>176961.0</v>
      </c>
    </row>
    <row r="516">
      <c r="A516" s="1">
        <v>237515.0</v>
      </c>
      <c r="B516" s="1">
        <v>0.0</v>
      </c>
      <c r="C516" s="1" t="s">
        <v>7899</v>
      </c>
      <c r="D516" s="1" t="s">
        <v>5081</v>
      </c>
      <c r="F516" s="1" t="s">
        <v>7900</v>
      </c>
      <c r="G516" s="1" t="s">
        <v>5122</v>
      </c>
      <c r="H516" s="1" t="s">
        <v>5102</v>
      </c>
      <c r="I516" s="1" t="s">
        <v>18</v>
      </c>
      <c r="J516" s="1" t="s">
        <v>5071</v>
      </c>
      <c r="K516" s="6" t="s">
        <v>7901</v>
      </c>
      <c r="L516" s="6" t="s">
        <v>7902</v>
      </c>
      <c r="M516" s="1" t="s">
        <v>7903</v>
      </c>
      <c r="O516" s="5">
        <v>43810.0</v>
      </c>
      <c r="P516" s="5">
        <v>43906.0</v>
      </c>
      <c r="R516" s="1" t="b">
        <v>0</v>
      </c>
      <c r="T516" s="1">
        <v>213513.0</v>
      </c>
      <c r="U516" s="1" t="b">
        <v>1</v>
      </c>
      <c r="V516" s="1" t="s">
        <v>7897</v>
      </c>
      <c r="W516" s="1" t="s">
        <v>7898</v>
      </c>
      <c r="X516" s="1">
        <v>200.0</v>
      </c>
      <c r="Z516" s="1" t="s">
        <v>389</v>
      </c>
      <c r="AA516" s="1" t="s">
        <v>7893</v>
      </c>
      <c r="AG516" s="5">
        <v>43893.0</v>
      </c>
    </row>
    <row r="517">
      <c r="A517" s="1">
        <v>238125.0</v>
      </c>
      <c r="B517" s="1">
        <v>0.0</v>
      </c>
      <c r="C517" s="1" t="s">
        <v>7904</v>
      </c>
      <c r="D517" s="1" t="s">
        <v>5068</v>
      </c>
      <c r="F517" s="1" t="s">
        <v>7905</v>
      </c>
      <c r="G517" s="1" t="s">
        <v>26</v>
      </c>
      <c r="H517" s="1" t="s">
        <v>5102</v>
      </c>
      <c r="I517" s="1" t="s">
        <v>18</v>
      </c>
      <c r="J517" s="1" t="s">
        <v>5071</v>
      </c>
      <c r="K517" s="6" t="s">
        <v>7906</v>
      </c>
      <c r="L517" s="6" t="s">
        <v>7907</v>
      </c>
      <c r="M517" s="1" t="s">
        <v>7908</v>
      </c>
      <c r="O517" s="5">
        <v>32087.0</v>
      </c>
      <c r="R517" s="1" t="b">
        <v>0</v>
      </c>
      <c r="T517" s="1">
        <v>4132.0</v>
      </c>
      <c r="U517" s="1" t="b">
        <v>0</v>
      </c>
      <c r="V517" s="1" t="s">
        <v>6167</v>
      </c>
      <c r="W517" s="1" t="s">
        <v>7909</v>
      </c>
      <c r="X517" s="1">
        <v>200.0</v>
      </c>
      <c r="Y517" s="1" t="s">
        <v>5075</v>
      </c>
      <c r="Z517" s="1" t="s">
        <v>6054</v>
      </c>
      <c r="AE517" s="6" t="s">
        <v>7910</v>
      </c>
      <c r="AG517" s="5">
        <v>43896.0</v>
      </c>
    </row>
    <row r="518">
      <c r="A518" s="1">
        <v>439716.0</v>
      </c>
      <c r="B518" s="1">
        <v>0.0</v>
      </c>
      <c r="C518" s="1" t="s">
        <v>7911</v>
      </c>
      <c r="D518" s="1" t="s">
        <v>5081</v>
      </c>
      <c r="F518" s="1" t="s">
        <v>7912</v>
      </c>
      <c r="G518" s="1" t="s">
        <v>26</v>
      </c>
      <c r="H518" s="1" t="s">
        <v>5102</v>
      </c>
      <c r="I518" s="1" t="s">
        <v>18</v>
      </c>
      <c r="J518" s="1" t="s">
        <v>5071</v>
      </c>
      <c r="K518" s="6" t="s">
        <v>7913</v>
      </c>
      <c r="L518" s="6" t="s">
        <v>7914</v>
      </c>
      <c r="M518" s="1" t="s">
        <v>5125</v>
      </c>
      <c r="O518" s="5">
        <v>32087.0</v>
      </c>
      <c r="R518" s="1" t="b">
        <v>0</v>
      </c>
      <c r="T518" s="1">
        <v>4132.0</v>
      </c>
      <c r="U518" s="1" t="b">
        <v>0</v>
      </c>
      <c r="V518" s="1" t="s">
        <v>6167</v>
      </c>
      <c r="W518" s="1" t="s">
        <v>7909</v>
      </c>
      <c r="X518" s="1">
        <v>200.0</v>
      </c>
      <c r="Z518" s="1" t="s">
        <v>6054</v>
      </c>
      <c r="AA518" s="1" t="s">
        <v>7905</v>
      </c>
      <c r="AG518" s="5">
        <v>44398.0</v>
      </c>
    </row>
    <row r="519">
      <c r="A519" s="1">
        <v>238126.0</v>
      </c>
      <c r="B519" s="1">
        <v>0.0</v>
      </c>
      <c r="C519" s="1" t="s">
        <v>7915</v>
      </c>
      <c r="D519" s="1" t="s">
        <v>5068</v>
      </c>
      <c r="F519" s="1" t="s">
        <v>7916</v>
      </c>
      <c r="G519" s="1" t="s">
        <v>26</v>
      </c>
      <c r="H519" s="1" t="s">
        <v>5102</v>
      </c>
      <c r="I519" s="1" t="s">
        <v>18</v>
      </c>
      <c r="J519" s="1" t="s">
        <v>5071</v>
      </c>
      <c r="K519" s="6" t="s">
        <v>7917</v>
      </c>
      <c r="L519" s="6" t="s">
        <v>7918</v>
      </c>
      <c r="M519" s="1" t="s">
        <v>7919</v>
      </c>
      <c r="O519" s="5">
        <v>33584.0</v>
      </c>
      <c r="R519" s="1" t="b">
        <v>0</v>
      </c>
      <c r="T519" s="1">
        <v>4132.0</v>
      </c>
      <c r="U519" s="1" t="b">
        <v>0</v>
      </c>
      <c r="V519" s="1" t="s">
        <v>5153</v>
      </c>
      <c r="W519" s="1" t="s">
        <v>7920</v>
      </c>
      <c r="X519" s="1">
        <v>200.0</v>
      </c>
      <c r="Y519" s="1" t="s">
        <v>5075</v>
      </c>
      <c r="Z519" s="1" t="s">
        <v>6054</v>
      </c>
      <c r="AE519" s="6" t="s">
        <v>7921</v>
      </c>
      <c r="AG519" s="5">
        <v>43896.0</v>
      </c>
    </row>
    <row r="520">
      <c r="A520" s="1">
        <v>439717.0</v>
      </c>
      <c r="B520" s="1">
        <v>0.0</v>
      </c>
      <c r="C520" s="1" t="s">
        <v>7922</v>
      </c>
      <c r="D520" s="1" t="s">
        <v>5081</v>
      </c>
      <c r="F520" s="1" t="s">
        <v>7923</v>
      </c>
      <c r="G520" s="1" t="s">
        <v>26</v>
      </c>
      <c r="H520" s="1" t="s">
        <v>5102</v>
      </c>
      <c r="I520" s="1" t="s">
        <v>18</v>
      </c>
      <c r="J520" s="1" t="s">
        <v>5071</v>
      </c>
      <c r="K520" s="6" t="s">
        <v>7924</v>
      </c>
      <c r="L520" s="6" t="s">
        <v>7925</v>
      </c>
      <c r="M520" s="1" t="s">
        <v>5125</v>
      </c>
      <c r="O520" s="5">
        <v>33584.0</v>
      </c>
      <c r="R520" s="1" t="b">
        <v>0</v>
      </c>
      <c r="T520" s="1">
        <v>4132.0</v>
      </c>
      <c r="U520" s="1" t="b">
        <v>0</v>
      </c>
      <c r="V520" s="1" t="s">
        <v>5153</v>
      </c>
      <c r="W520" s="1" t="s">
        <v>7920</v>
      </c>
      <c r="X520" s="1">
        <v>200.0</v>
      </c>
      <c r="Z520" s="1" t="s">
        <v>6054</v>
      </c>
      <c r="AA520" s="1" t="s">
        <v>7916</v>
      </c>
      <c r="AG520" s="5">
        <v>44398.0</v>
      </c>
    </row>
    <row r="521">
      <c r="A521" s="1">
        <v>238127.0</v>
      </c>
      <c r="B521" s="1">
        <v>0.0</v>
      </c>
      <c r="C521" s="1" t="s">
        <v>7926</v>
      </c>
      <c r="D521" s="1" t="s">
        <v>5068</v>
      </c>
      <c r="F521" s="1" t="s">
        <v>7927</v>
      </c>
      <c r="G521" s="1" t="s">
        <v>26</v>
      </c>
      <c r="H521" s="1" t="s">
        <v>5102</v>
      </c>
      <c r="I521" s="1" t="s">
        <v>18</v>
      </c>
      <c r="J521" s="1" t="s">
        <v>5071</v>
      </c>
      <c r="K521" s="6" t="s">
        <v>7928</v>
      </c>
      <c r="L521" s="6" t="s">
        <v>7929</v>
      </c>
      <c r="M521" s="1" t="s">
        <v>7930</v>
      </c>
      <c r="O521" s="5">
        <v>32247.0</v>
      </c>
      <c r="R521" s="1" t="b">
        <v>0</v>
      </c>
      <c r="T521" s="1">
        <v>4132.0</v>
      </c>
      <c r="U521" s="1" t="b">
        <v>0</v>
      </c>
      <c r="V521" s="1" t="s">
        <v>7931</v>
      </c>
      <c r="W521" s="1" t="s">
        <v>7932</v>
      </c>
      <c r="X521" s="1">
        <v>200.0</v>
      </c>
      <c r="Y521" s="1" t="s">
        <v>5075</v>
      </c>
      <c r="Z521" s="1" t="s">
        <v>6054</v>
      </c>
      <c r="AE521" s="6" t="s">
        <v>7933</v>
      </c>
      <c r="AG521" s="5">
        <v>43896.0</v>
      </c>
    </row>
    <row r="522">
      <c r="A522" s="1">
        <v>439718.0</v>
      </c>
      <c r="B522" s="1">
        <v>0.0</v>
      </c>
      <c r="C522" s="1" t="s">
        <v>7934</v>
      </c>
      <c r="D522" s="1" t="s">
        <v>5081</v>
      </c>
      <c r="F522" s="1" t="s">
        <v>7935</v>
      </c>
      <c r="G522" s="1" t="s">
        <v>26</v>
      </c>
      <c r="H522" s="1" t="s">
        <v>5102</v>
      </c>
      <c r="I522" s="1" t="s">
        <v>18</v>
      </c>
      <c r="J522" s="1" t="s">
        <v>5071</v>
      </c>
      <c r="K522" s="6" t="s">
        <v>7936</v>
      </c>
      <c r="L522" s="6" t="s">
        <v>7937</v>
      </c>
      <c r="M522" s="1" t="s">
        <v>5125</v>
      </c>
      <c r="O522" s="5">
        <v>32247.0</v>
      </c>
      <c r="R522" s="1" t="b">
        <v>0</v>
      </c>
      <c r="T522" s="1">
        <v>4132.0</v>
      </c>
      <c r="U522" s="1" t="b">
        <v>0</v>
      </c>
      <c r="V522" s="1" t="s">
        <v>7931</v>
      </c>
      <c r="W522" s="1" t="s">
        <v>7932</v>
      </c>
      <c r="X522" s="1">
        <v>200.0</v>
      </c>
      <c r="Z522" s="1" t="s">
        <v>6054</v>
      </c>
      <c r="AA522" s="1" t="s">
        <v>7927</v>
      </c>
      <c r="AG522" s="5">
        <v>44398.0</v>
      </c>
    </row>
    <row r="523">
      <c r="A523" s="1">
        <v>238128.0</v>
      </c>
      <c r="B523" s="1">
        <v>0.0</v>
      </c>
      <c r="C523" s="1" t="s">
        <v>7938</v>
      </c>
      <c r="D523" s="1" t="s">
        <v>5068</v>
      </c>
      <c r="E523" s="5">
        <v>43922.0</v>
      </c>
      <c r="F523" s="1" t="s">
        <v>7939</v>
      </c>
      <c r="G523" s="1" t="s">
        <v>26</v>
      </c>
      <c r="H523" s="1" t="s">
        <v>5102</v>
      </c>
      <c r="I523" s="1" t="s">
        <v>18</v>
      </c>
      <c r="J523" s="1" t="s">
        <v>5071</v>
      </c>
      <c r="K523" s="6" t="s">
        <v>7940</v>
      </c>
      <c r="L523" s="6" t="s">
        <v>7941</v>
      </c>
      <c r="M523" s="1" t="s">
        <v>7942</v>
      </c>
      <c r="O523" s="5">
        <v>32226.0</v>
      </c>
      <c r="R523" s="1" t="b">
        <v>0</v>
      </c>
      <c r="T523" s="1">
        <v>3756.0</v>
      </c>
      <c r="U523" s="1" t="b">
        <v>0</v>
      </c>
      <c r="V523" s="1" t="s">
        <v>5119</v>
      </c>
      <c r="W523" s="1" t="s">
        <v>7943</v>
      </c>
      <c r="X523" s="1">
        <v>200.0</v>
      </c>
      <c r="Y523" s="1" t="s">
        <v>5075</v>
      </c>
      <c r="Z523" s="1" t="s">
        <v>5076</v>
      </c>
      <c r="AE523" s="6" t="s">
        <v>7944</v>
      </c>
      <c r="AG523" s="5">
        <v>43896.0</v>
      </c>
    </row>
    <row r="524">
      <c r="A524" s="1">
        <v>241461.0</v>
      </c>
      <c r="B524" s="1">
        <v>0.0</v>
      </c>
      <c r="C524" s="1" t="s">
        <v>7945</v>
      </c>
      <c r="D524" s="1" t="s">
        <v>5081</v>
      </c>
      <c r="E524" s="5">
        <v>43922.0</v>
      </c>
      <c r="F524" s="1" t="s">
        <v>7946</v>
      </c>
      <c r="G524" s="1" t="s">
        <v>26</v>
      </c>
      <c r="H524" s="1" t="s">
        <v>5102</v>
      </c>
      <c r="I524" s="1" t="s">
        <v>18</v>
      </c>
      <c r="J524" s="1" t="s">
        <v>5071</v>
      </c>
      <c r="K524" s="6" t="s">
        <v>7947</v>
      </c>
      <c r="L524" s="6" t="s">
        <v>7948</v>
      </c>
      <c r="M524" s="1" t="s">
        <v>7949</v>
      </c>
      <c r="O524" s="5">
        <v>32226.0</v>
      </c>
      <c r="R524" s="1" t="b">
        <v>0</v>
      </c>
      <c r="T524" s="1">
        <v>3756.0</v>
      </c>
      <c r="U524" s="1" t="b">
        <v>0</v>
      </c>
      <c r="V524" s="1" t="s">
        <v>5119</v>
      </c>
      <c r="W524" s="1" t="s">
        <v>7943</v>
      </c>
      <c r="X524" s="1">
        <v>200.0</v>
      </c>
      <c r="Z524" s="1" t="s">
        <v>5076</v>
      </c>
      <c r="AA524" s="1" t="s">
        <v>7939</v>
      </c>
      <c r="AG524" s="5">
        <v>43922.0</v>
      </c>
    </row>
    <row r="525">
      <c r="A525" s="1">
        <v>238129.0</v>
      </c>
      <c r="B525" s="1">
        <v>0.0</v>
      </c>
      <c r="C525" s="1" t="s">
        <v>7950</v>
      </c>
      <c r="D525" s="1" t="s">
        <v>5068</v>
      </c>
      <c r="F525" s="1" t="s">
        <v>7951</v>
      </c>
      <c r="G525" s="1" t="s">
        <v>26</v>
      </c>
      <c r="H525" s="1" t="s">
        <v>5102</v>
      </c>
      <c r="I525" s="1" t="s">
        <v>18</v>
      </c>
      <c r="J525" s="1" t="s">
        <v>5071</v>
      </c>
      <c r="K525" s="6" t="s">
        <v>7952</v>
      </c>
      <c r="L525" s="6" t="s">
        <v>7953</v>
      </c>
      <c r="M525" s="1" t="s">
        <v>7954</v>
      </c>
      <c r="O525" s="5">
        <v>29657.0</v>
      </c>
      <c r="R525" s="1" t="b">
        <v>0</v>
      </c>
      <c r="T525" s="1">
        <v>4139.0</v>
      </c>
      <c r="U525" s="1" t="b">
        <v>0</v>
      </c>
      <c r="V525" s="1" t="s">
        <v>7955</v>
      </c>
      <c r="W525" s="1" t="s">
        <v>7956</v>
      </c>
      <c r="X525" s="1">
        <v>200.0</v>
      </c>
      <c r="Z525" s="1" t="s">
        <v>6076</v>
      </c>
      <c r="AG525" s="5">
        <v>43896.0</v>
      </c>
    </row>
    <row r="526">
      <c r="A526" s="1">
        <v>439719.0</v>
      </c>
      <c r="B526" s="1">
        <v>0.0</v>
      </c>
      <c r="C526" s="1" t="s">
        <v>7957</v>
      </c>
      <c r="D526" s="1" t="s">
        <v>5081</v>
      </c>
      <c r="F526" s="1" t="s">
        <v>7958</v>
      </c>
      <c r="G526" s="1" t="s">
        <v>26</v>
      </c>
      <c r="H526" s="1" t="s">
        <v>5102</v>
      </c>
      <c r="I526" s="1" t="s">
        <v>18</v>
      </c>
      <c r="J526" s="1" t="s">
        <v>5071</v>
      </c>
      <c r="K526" s="6" t="s">
        <v>7959</v>
      </c>
      <c r="L526" s="6" t="s">
        <v>7960</v>
      </c>
      <c r="M526" s="1" t="s">
        <v>5125</v>
      </c>
      <c r="O526" s="5">
        <v>29657.0</v>
      </c>
      <c r="R526" s="1" t="b">
        <v>0</v>
      </c>
      <c r="T526" s="1">
        <v>4139.0</v>
      </c>
      <c r="U526" s="1" t="b">
        <v>0</v>
      </c>
      <c r="V526" s="1" t="s">
        <v>7955</v>
      </c>
      <c r="W526" s="1" t="s">
        <v>7956</v>
      </c>
      <c r="X526" s="1">
        <v>200.0</v>
      </c>
      <c r="Z526" s="1" t="s">
        <v>6076</v>
      </c>
      <c r="AA526" s="1" t="s">
        <v>7951</v>
      </c>
      <c r="AG526" s="5">
        <v>44398.0</v>
      </c>
    </row>
    <row r="527">
      <c r="A527" s="1">
        <v>238318.0</v>
      </c>
      <c r="B527" s="1">
        <v>0.0</v>
      </c>
      <c r="C527" s="1" t="s">
        <v>7961</v>
      </c>
      <c r="D527" s="1" t="s">
        <v>5068</v>
      </c>
      <c r="F527" s="1" t="s">
        <v>7962</v>
      </c>
      <c r="G527" s="1" t="s">
        <v>26</v>
      </c>
      <c r="H527" s="1" t="s">
        <v>5419</v>
      </c>
      <c r="I527" s="1" t="s">
        <v>18</v>
      </c>
      <c r="J527" s="1" t="s">
        <v>21</v>
      </c>
      <c r="K527" s="6" t="s">
        <v>7963</v>
      </c>
      <c r="L527" s="6" t="s">
        <v>7964</v>
      </c>
      <c r="M527" s="1" t="s">
        <v>7965</v>
      </c>
      <c r="P527" s="5">
        <v>41442.0</v>
      </c>
      <c r="R527" s="1" t="b">
        <v>0</v>
      </c>
      <c r="U527" s="1" t="b">
        <v>0</v>
      </c>
      <c r="V527" s="1" t="s">
        <v>6143</v>
      </c>
      <c r="W527" s="1" t="s">
        <v>7966</v>
      </c>
      <c r="X527" s="1">
        <v>200.0</v>
      </c>
      <c r="Y527" s="1" t="s">
        <v>5075</v>
      </c>
      <c r="AE527" s="6" t="s">
        <v>7967</v>
      </c>
      <c r="AG527" s="5">
        <v>43899.0</v>
      </c>
    </row>
    <row r="528">
      <c r="A528" s="1">
        <v>238319.0</v>
      </c>
      <c r="B528" s="1">
        <v>0.0</v>
      </c>
      <c r="C528" s="1" t="s">
        <v>7968</v>
      </c>
      <c r="D528" s="1" t="s">
        <v>5068</v>
      </c>
      <c r="F528" s="1" t="s">
        <v>7969</v>
      </c>
      <c r="G528" s="1" t="s">
        <v>26</v>
      </c>
      <c r="H528" s="1" t="s">
        <v>5419</v>
      </c>
      <c r="I528" s="1" t="s">
        <v>18</v>
      </c>
      <c r="J528" s="1" t="s">
        <v>21</v>
      </c>
      <c r="K528" s="6" t="s">
        <v>7970</v>
      </c>
      <c r="L528" s="6" t="s">
        <v>7971</v>
      </c>
      <c r="M528" s="1" t="s">
        <v>7972</v>
      </c>
      <c r="P528" s="5">
        <v>42018.0</v>
      </c>
      <c r="R528" s="1" t="b">
        <v>0</v>
      </c>
      <c r="U528" s="1" t="b">
        <v>0</v>
      </c>
      <c r="V528" s="1" t="s">
        <v>7973</v>
      </c>
      <c r="W528" s="1" t="s">
        <v>7974</v>
      </c>
      <c r="X528" s="1">
        <v>200.0</v>
      </c>
      <c r="Y528" s="1" t="s">
        <v>5075</v>
      </c>
      <c r="AE528" s="6" t="s">
        <v>7975</v>
      </c>
      <c r="AG528" s="5">
        <v>43899.0</v>
      </c>
    </row>
    <row r="529">
      <c r="A529" s="1">
        <v>238320.0</v>
      </c>
      <c r="B529" s="1">
        <v>0.0</v>
      </c>
      <c r="C529" s="1" t="s">
        <v>7976</v>
      </c>
      <c r="D529" s="1" t="s">
        <v>5068</v>
      </c>
      <c r="F529" s="1" t="s">
        <v>7977</v>
      </c>
      <c r="G529" s="1" t="s">
        <v>26</v>
      </c>
      <c r="H529" s="1" t="s">
        <v>5419</v>
      </c>
      <c r="I529" s="1" t="s">
        <v>18</v>
      </c>
      <c r="J529" s="1" t="s">
        <v>21</v>
      </c>
      <c r="K529" s="6" t="s">
        <v>7978</v>
      </c>
      <c r="L529" s="6" t="s">
        <v>7979</v>
      </c>
      <c r="M529" s="1" t="s">
        <v>7980</v>
      </c>
      <c r="O529" s="5">
        <v>33025.0</v>
      </c>
      <c r="R529" s="1" t="b">
        <v>0</v>
      </c>
      <c r="U529" s="1" t="b">
        <v>0</v>
      </c>
      <c r="V529" s="1" t="s">
        <v>5182</v>
      </c>
      <c r="W529" s="1" t="s">
        <v>7981</v>
      </c>
      <c r="X529" s="1">
        <v>200.0</v>
      </c>
      <c r="Y529" s="1" t="s">
        <v>5075</v>
      </c>
      <c r="AE529" s="6" t="s">
        <v>7982</v>
      </c>
      <c r="AG529" s="5">
        <v>43899.0</v>
      </c>
    </row>
    <row r="530">
      <c r="A530" s="1">
        <v>238321.0</v>
      </c>
      <c r="B530" s="1">
        <v>0.0</v>
      </c>
      <c r="C530" s="1" t="s">
        <v>7983</v>
      </c>
      <c r="D530" s="1" t="s">
        <v>5068</v>
      </c>
      <c r="F530" s="1" t="s">
        <v>7984</v>
      </c>
      <c r="G530" s="1" t="s">
        <v>26</v>
      </c>
      <c r="H530" s="1" t="s">
        <v>5419</v>
      </c>
      <c r="I530" s="1" t="s">
        <v>18</v>
      </c>
      <c r="J530" s="1" t="s">
        <v>21</v>
      </c>
      <c r="K530" s="6" t="s">
        <v>7985</v>
      </c>
      <c r="L530" s="6" t="s">
        <v>7986</v>
      </c>
      <c r="M530" s="1" t="s">
        <v>7987</v>
      </c>
      <c r="O530" s="5">
        <v>33325.0</v>
      </c>
      <c r="R530" s="1" t="b">
        <v>0</v>
      </c>
      <c r="U530" s="1" t="b">
        <v>0</v>
      </c>
      <c r="V530" s="1" t="s">
        <v>5182</v>
      </c>
      <c r="W530" s="1" t="s">
        <v>7988</v>
      </c>
      <c r="X530" s="1">
        <v>200.0</v>
      </c>
      <c r="Y530" s="1" t="s">
        <v>5075</v>
      </c>
      <c r="AE530" s="6" t="s">
        <v>7989</v>
      </c>
      <c r="AG530" s="5">
        <v>43899.0</v>
      </c>
    </row>
    <row r="531">
      <c r="A531" s="1">
        <v>238322.0</v>
      </c>
      <c r="B531" s="1">
        <v>0.0</v>
      </c>
      <c r="C531" s="1" t="s">
        <v>7990</v>
      </c>
      <c r="D531" s="1" t="s">
        <v>5068</v>
      </c>
      <c r="F531" s="1" t="s">
        <v>7991</v>
      </c>
      <c r="G531" s="1" t="s">
        <v>26</v>
      </c>
      <c r="H531" s="1" t="s">
        <v>5419</v>
      </c>
      <c r="I531" s="1" t="s">
        <v>18</v>
      </c>
      <c r="J531" s="1" t="s">
        <v>21</v>
      </c>
      <c r="K531" s="6" t="s">
        <v>7992</v>
      </c>
      <c r="L531" s="6" t="s">
        <v>7993</v>
      </c>
      <c r="M531" s="1" t="s">
        <v>7994</v>
      </c>
      <c r="O531" s="5">
        <v>36272.0</v>
      </c>
      <c r="R531" s="1" t="b">
        <v>0</v>
      </c>
      <c r="U531" s="1" t="b">
        <v>0</v>
      </c>
      <c r="V531" s="1" t="s">
        <v>7995</v>
      </c>
      <c r="W531" s="1" t="s">
        <v>7996</v>
      </c>
      <c r="X531" s="1">
        <v>200.0</v>
      </c>
      <c r="Y531" s="1" t="s">
        <v>5075</v>
      </c>
      <c r="AE531" s="6" t="s">
        <v>7997</v>
      </c>
      <c r="AG531" s="5">
        <v>43899.0</v>
      </c>
    </row>
    <row r="532">
      <c r="A532" s="1">
        <v>238323.0</v>
      </c>
      <c r="B532" s="1">
        <v>0.0</v>
      </c>
      <c r="C532" s="1" t="s">
        <v>7998</v>
      </c>
      <c r="D532" s="1" t="s">
        <v>5068</v>
      </c>
      <c r="F532" s="1" t="s">
        <v>7999</v>
      </c>
      <c r="G532" s="1" t="s">
        <v>26</v>
      </c>
      <c r="H532" s="1" t="s">
        <v>5419</v>
      </c>
      <c r="I532" s="1" t="s">
        <v>18</v>
      </c>
      <c r="J532" s="1" t="s">
        <v>21</v>
      </c>
      <c r="K532" s="6" t="s">
        <v>8000</v>
      </c>
      <c r="L532" s="6" t="s">
        <v>8001</v>
      </c>
      <c r="M532" s="1" t="s">
        <v>8002</v>
      </c>
      <c r="O532" s="5">
        <v>36696.0</v>
      </c>
      <c r="R532" s="1" t="b">
        <v>0</v>
      </c>
      <c r="U532" s="1" t="b">
        <v>0</v>
      </c>
      <c r="V532" s="1" t="s">
        <v>8003</v>
      </c>
      <c r="W532" s="1" t="s">
        <v>8004</v>
      </c>
      <c r="X532" s="1">
        <v>200.0</v>
      </c>
      <c r="Y532" s="1" t="s">
        <v>5075</v>
      </c>
      <c r="AE532" s="6" t="s">
        <v>8005</v>
      </c>
      <c r="AG532" s="5">
        <v>43899.0</v>
      </c>
    </row>
    <row r="533">
      <c r="A533" s="1">
        <v>238324.0</v>
      </c>
      <c r="B533" s="1">
        <v>0.0</v>
      </c>
      <c r="C533" s="1" t="s">
        <v>8006</v>
      </c>
      <c r="D533" s="1" t="s">
        <v>5068</v>
      </c>
      <c r="F533" s="1" t="s">
        <v>8007</v>
      </c>
      <c r="G533" s="1" t="s">
        <v>26</v>
      </c>
      <c r="H533" s="1" t="s">
        <v>5419</v>
      </c>
      <c r="I533" s="1" t="s">
        <v>18</v>
      </c>
      <c r="J533" s="1" t="s">
        <v>21</v>
      </c>
      <c r="K533" s="6" t="s">
        <v>8008</v>
      </c>
      <c r="L533" s="6" t="s">
        <v>8009</v>
      </c>
      <c r="M533" s="1" t="s">
        <v>8010</v>
      </c>
      <c r="O533" s="5">
        <v>37132.0</v>
      </c>
      <c r="R533" s="1" t="b">
        <v>0</v>
      </c>
      <c r="U533" s="1" t="b">
        <v>0</v>
      </c>
      <c r="V533" s="1" t="s">
        <v>8011</v>
      </c>
      <c r="W533" s="1" t="s">
        <v>7173</v>
      </c>
      <c r="X533" s="1">
        <v>200.0</v>
      </c>
      <c r="Y533" s="1" t="s">
        <v>5075</v>
      </c>
      <c r="AE533" s="6" t="s">
        <v>8012</v>
      </c>
      <c r="AG533" s="5">
        <v>43899.0</v>
      </c>
    </row>
    <row r="534">
      <c r="A534" s="1">
        <v>238326.0</v>
      </c>
      <c r="B534" s="1">
        <v>0.0</v>
      </c>
      <c r="C534" s="1" t="s">
        <v>8013</v>
      </c>
      <c r="D534" s="1" t="s">
        <v>5068</v>
      </c>
      <c r="F534" s="1" t="s">
        <v>8014</v>
      </c>
      <c r="G534" s="1" t="s">
        <v>26</v>
      </c>
      <c r="H534" s="1" t="s">
        <v>5419</v>
      </c>
      <c r="I534" s="1" t="s">
        <v>18</v>
      </c>
      <c r="J534" s="1" t="s">
        <v>21</v>
      </c>
      <c r="K534" s="6" t="s">
        <v>8015</v>
      </c>
      <c r="L534" s="6" t="s">
        <v>8016</v>
      </c>
      <c r="M534" s="1" t="s">
        <v>8017</v>
      </c>
      <c r="P534" s="5">
        <v>42417.0</v>
      </c>
      <c r="R534" s="1" t="b">
        <v>0</v>
      </c>
      <c r="U534" s="1" t="b">
        <v>0</v>
      </c>
      <c r="V534" s="1" t="s">
        <v>7203</v>
      </c>
      <c r="W534" s="1" t="s">
        <v>8018</v>
      </c>
      <c r="X534" s="1">
        <v>200.0</v>
      </c>
      <c r="Y534" s="1" t="s">
        <v>5075</v>
      </c>
      <c r="AE534" s="6" t="s">
        <v>8019</v>
      </c>
      <c r="AG534" s="5">
        <v>43899.0</v>
      </c>
    </row>
    <row r="535">
      <c r="A535" s="1">
        <v>238327.0</v>
      </c>
      <c r="B535" s="1">
        <v>0.0</v>
      </c>
      <c r="C535" s="1" t="s">
        <v>8020</v>
      </c>
      <c r="D535" s="1" t="s">
        <v>5068</v>
      </c>
      <c r="F535" s="1" t="s">
        <v>8021</v>
      </c>
      <c r="G535" s="1" t="s">
        <v>26</v>
      </c>
      <c r="H535" s="1" t="s">
        <v>5419</v>
      </c>
      <c r="I535" s="1" t="s">
        <v>18</v>
      </c>
      <c r="J535" s="1" t="s">
        <v>21</v>
      </c>
      <c r="K535" s="6" t="s">
        <v>8022</v>
      </c>
      <c r="L535" s="6" t="s">
        <v>8023</v>
      </c>
      <c r="M535" s="1" t="s">
        <v>8024</v>
      </c>
      <c r="O535" s="5">
        <v>42424.0</v>
      </c>
      <c r="R535" s="1" t="b">
        <v>0</v>
      </c>
      <c r="U535" s="1" t="b">
        <v>0</v>
      </c>
      <c r="V535" s="1" t="s">
        <v>6167</v>
      </c>
      <c r="W535" s="1" t="s">
        <v>8025</v>
      </c>
      <c r="X535" s="1">
        <v>200.0</v>
      </c>
      <c r="Y535" s="1" t="s">
        <v>5075</v>
      </c>
      <c r="AE535" s="6" t="s">
        <v>8026</v>
      </c>
      <c r="AG535" s="5">
        <v>43899.0</v>
      </c>
    </row>
    <row r="536">
      <c r="A536" s="1">
        <v>238328.0</v>
      </c>
      <c r="B536" s="1">
        <v>0.0</v>
      </c>
      <c r="C536" s="1" t="s">
        <v>8027</v>
      </c>
      <c r="D536" s="1" t="s">
        <v>5068</v>
      </c>
      <c r="F536" s="1" t="s">
        <v>8028</v>
      </c>
      <c r="G536" s="1" t="s">
        <v>26</v>
      </c>
      <c r="H536" s="1" t="s">
        <v>5419</v>
      </c>
      <c r="I536" s="1" t="s">
        <v>18</v>
      </c>
      <c r="J536" s="1" t="s">
        <v>21</v>
      </c>
      <c r="K536" s="1" t="s">
        <v>5072</v>
      </c>
      <c r="L536" s="6" t="s">
        <v>8029</v>
      </c>
      <c r="M536" s="1" t="s">
        <v>8030</v>
      </c>
      <c r="O536" s="5">
        <v>29099.0</v>
      </c>
      <c r="R536" s="1" t="b">
        <v>0</v>
      </c>
      <c r="U536" s="1" t="b">
        <v>0</v>
      </c>
      <c r="V536" s="1" t="s">
        <v>6125</v>
      </c>
      <c r="X536" s="1">
        <v>200.0</v>
      </c>
      <c r="Y536" s="1" t="s">
        <v>5075</v>
      </c>
      <c r="AE536" s="6" t="s">
        <v>8031</v>
      </c>
      <c r="AG536" s="5">
        <v>43899.0</v>
      </c>
    </row>
    <row r="537">
      <c r="A537" s="1">
        <v>238329.0</v>
      </c>
      <c r="B537" s="1">
        <v>0.0</v>
      </c>
      <c r="C537" s="1" t="s">
        <v>8032</v>
      </c>
      <c r="D537" s="1" t="s">
        <v>5068</v>
      </c>
      <c r="F537" s="1" t="s">
        <v>8033</v>
      </c>
      <c r="G537" s="1" t="s">
        <v>26</v>
      </c>
      <c r="H537" s="1" t="s">
        <v>5070</v>
      </c>
      <c r="I537" s="1" t="s">
        <v>18</v>
      </c>
      <c r="J537" s="1" t="s">
        <v>21</v>
      </c>
      <c r="K537" s="6" t="s">
        <v>8034</v>
      </c>
      <c r="L537" s="6" t="s">
        <v>8035</v>
      </c>
      <c r="M537" s="1" t="s">
        <v>8036</v>
      </c>
      <c r="O537" s="5">
        <v>42199.0</v>
      </c>
      <c r="R537" s="1" t="b">
        <v>0</v>
      </c>
      <c r="U537" s="1" t="b">
        <v>0</v>
      </c>
      <c r="V537" s="1" t="s">
        <v>5688</v>
      </c>
      <c r="W537" s="1" t="s">
        <v>8037</v>
      </c>
      <c r="X537" s="1">
        <v>200.0</v>
      </c>
      <c r="Y537" s="1" t="s">
        <v>5075</v>
      </c>
      <c r="AG537" s="5">
        <v>43899.0</v>
      </c>
    </row>
    <row r="538">
      <c r="A538" s="1">
        <v>238330.0</v>
      </c>
      <c r="B538" s="1">
        <v>0.0</v>
      </c>
      <c r="C538" s="1" t="s">
        <v>8038</v>
      </c>
      <c r="D538" s="1" t="s">
        <v>5068</v>
      </c>
      <c r="E538" s="5">
        <v>44294.0</v>
      </c>
      <c r="F538" s="1" t="s">
        <v>8039</v>
      </c>
      <c r="G538" s="1" t="s">
        <v>26</v>
      </c>
      <c r="H538" s="1" t="s">
        <v>5070</v>
      </c>
      <c r="I538" s="1" t="s">
        <v>18</v>
      </c>
      <c r="J538" s="1" t="s">
        <v>21</v>
      </c>
      <c r="K538" s="6" t="s">
        <v>8040</v>
      </c>
      <c r="L538" s="6" t="s">
        <v>8041</v>
      </c>
      <c r="M538" s="1" t="s">
        <v>8042</v>
      </c>
      <c r="O538" s="5">
        <v>43739.0</v>
      </c>
      <c r="R538" s="1" t="b">
        <v>0</v>
      </c>
      <c r="U538" s="1" t="b">
        <v>0</v>
      </c>
      <c r="V538" s="1" t="s">
        <v>5546</v>
      </c>
      <c r="W538" s="1" t="s">
        <v>8043</v>
      </c>
      <c r="X538" s="1">
        <v>200.0</v>
      </c>
      <c r="Y538" s="1" t="s">
        <v>5075</v>
      </c>
      <c r="AG538" s="5">
        <v>43899.0</v>
      </c>
    </row>
    <row r="539">
      <c r="A539" s="1">
        <v>238334.0</v>
      </c>
      <c r="B539" s="1">
        <v>0.0</v>
      </c>
      <c r="C539" s="1" t="s">
        <v>8044</v>
      </c>
      <c r="D539" s="1" t="s">
        <v>5068</v>
      </c>
      <c r="F539" s="1" t="s">
        <v>8045</v>
      </c>
      <c r="G539" s="1" t="s">
        <v>26</v>
      </c>
      <c r="H539" s="1" t="s">
        <v>5102</v>
      </c>
      <c r="I539" s="1" t="s">
        <v>18</v>
      </c>
      <c r="J539" s="1" t="s">
        <v>21</v>
      </c>
      <c r="K539" s="6" t="s">
        <v>8046</v>
      </c>
      <c r="L539" s="6" t="s">
        <v>8047</v>
      </c>
      <c r="M539" s="1" t="s">
        <v>8048</v>
      </c>
      <c r="P539" s="5">
        <v>39904.0</v>
      </c>
      <c r="R539" s="1" t="b">
        <v>0</v>
      </c>
      <c r="T539" s="1">
        <v>190.0</v>
      </c>
      <c r="U539" s="1" t="b">
        <v>0</v>
      </c>
      <c r="V539" s="1" t="s">
        <v>7261</v>
      </c>
      <c r="W539" s="1" t="s">
        <v>8049</v>
      </c>
      <c r="X539" s="1">
        <v>200.0</v>
      </c>
      <c r="Z539" s="1" t="s">
        <v>3999</v>
      </c>
      <c r="AE539" s="6" t="s">
        <v>8050</v>
      </c>
      <c r="AG539" s="5">
        <v>43899.0</v>
      </c>
    </row>
    <row r="540">
      <c r="A540" s="1">
        <v>238335.0</v>
      </c>
      <c r="B540" s="1">
        <v>0.0</v>
      </c>
      <c r="C540" s="1" t="s">
        <v>8051</v>
      </c>
      <c r="D540" s="1" t="s">
        <v>5068</v>
      </c>
      <c r="F540" s="1" t="s">
        <v>8052</v>
      </c>
      <c r="G540" s="1" t="s">
        <v>26</v>
      </c>
      <c r="H540" s="1" t="s">
        <v>5102</v>
      </c>
      <c r="I540" s="1" t="s">
        <v>18</v>
      </c>
      <c r="J540" s="1" t="s">
        <v>21</v>
      </c>
      <c r="K540" s="6" t="s">
        <v>8053</v>
      </c>
      <c r="L540" s="6" t="s">
        <v>8054</v>
      </c>
      <c r="M540" s="1" t="s">
        <v>8055</v>
      </c>
      <c r="O540" s="5">
        <v>42667.0</v>
      </c>
      <c r="R540" s="1" t="b">
        <v>0</v>
      </c>
      <c r="T540" s="1">
        <v>190.0</v>
      </c>
      <c r="U540" s="1" t="b">
        <v>0</v>
      </c>
      <c r="V540" s="1" t="s">
        <v>7261</v>
      </c>
      <c r="W540" s="1" t="s">
        <v>8056</v>
      </c>
      <c r="X540" s="1">
        <v>200.0</v>
      </c>
      <c r="Z540" s="1" t="s">
        <v>3999</v>
      </c>
      <c r="AE540" s="6" t="s">
        <v>8057</v>
      </c>
      <c r="AF540" s="6" t="s">
        <v>8058</v>
      </c>
      <c r="AG540" s="5">
        <v>43899.0</v>
      </c>
    </row>
    <row r="541">
      <c r="A541" s="1">
        <v>238338.0</v>
      </c>
      <c r="B541" s="1">
        <v>0.0</v>
      </c>
      <c r="C541" s="1" t="s">
        <v>8059</v>
      </c>
      <c r="D541" s="1" t="s">
        <v>5068</v>
      </c>
      <c r="F541" s="1" t="s">
        <v>8060</v>
      </c>
      <c r="G541" s="1" t="s">
        <v>26</v>
      </c>
      <c r="H541" s="1" t="s">
        <v>5102</v>
      </c>
      <c r="I541" s="1" t="s">
        <v>18</v>
      </c>
      <c r="J541" s="1" t="s">
        <v>21</v>
      </c>
      <c r="K541" s="6" t="s">
        <v>8061</v>
      </c>
      <c r="L541" s="6" t="s">
        <v>8062</v>
      </c>
      <c r="M541" s="1" t="s">
        <v>8063</v>
      </c>
      <c r="O541" s="5">
        <v>41862.0</v>
      </c>
      <c r="R541" s="1" t="b">
        <v>0</v>
      </c>
      <c r="T541" s="1">
        <v>190.0</v>
      </c>
      <c r="U541" s="1" t="b">
        <v>0</v>
      </c>
      <c r="V541" s="1" t="s">
        <v>7261</v>
      </c>
      <c r="W541" s="1" t="s">
        <v>8064</v>
      </c>
      <c r="X541" s="1">
        <v>200.0</v>
      </c>
      <c r="Y541" s="1" t="s">
        <v>5075</v>
      </c>
      <c r="Z541" s="1" t="s">
        <v>3999</v>
      </c>
      <c r="AE541" s="6" t="s">
        <v>8065</v>
      </c>
      <c r="AF541" s="6" t="s">
        <v>8058</v>
      </c>
      <c r="AG541" s="5">
        <v>43899.0</v>
      </c>
    </row>
    <row r="542">
      <c r="A542" s="1">
        <v>238339.0</v>
      </c>
      <c r="B542" s="1">
        <v>0.0</v>
      </c>
      <c r="C542" s="1" t="s">
        <v>746</v>
      </c>
      <c r="D542" s="1" t="s">
        <v>5068</v>
      </c>
      <c r="E542" s="5">
        <v>44545.0</v>
      </c>
      <c r="F542" s="1" t="s">
        <v>747</v>
      </c>
      <c r="G542" s="1" t="s">
        <v>26</v>
      </c>
      <c r="H542" s="1" t="s">
        <v>5102</v>
      </c>
      <c r="I542" s="1" t="s">
        <v>18</v>
      </c>
      <c r="J542" s="1" t="s">
        <v>21</v>
      </c>
      <c r="K542" s="6" t="s">
        <v>8066</v>
      </c>
      <c r="L542" s="6" t="s">
        <v>8067</v>
      </c>
      <c r="M542" s="1" t="s">
        <v>8068</v>
      </c>
      <c r="O542" s="5">
        <v>42724.0</v>
      </c>
      <c r="R542" s="1" t="b">
        <v>0</v>
      </c>
      <c r="T542" s="1">
        <v>190.0</v>
      </c>
      <c r="U542" s="1" t="b">
        <v>0</v>
      </c>
      <c r="V542" s="1" t="s">
        <v>7261</v>
      </c>
      <c r="W542" s="1" t="s">
        <v>8069</v>
      </c>
      <c r="X542" s="1">
        <v>200.0</v>
      </c>
      <c r="Y542" s="1" t="s">
        <v>5075</v>
      </c>
      <c r="Z542" s="1" t="s">
        <v>3999</v>
      </c>
      <c r="AE542" s="6" t="s">
        <v>8070</v>
      </c>
      <c r="AF542" s="6" t="s">
        <v>8058</v>
      </c>
      <c r="AG542" s="5">
        <v>43899.0</v>
      </c>
    </row>
    <row r="543">
      <c r="A543" s="1">
        <v>238340.0</v>
      </c>
      <c r="B543" s="1">
        <v>0.0</v>
      </c>
      <c r="C543" s="1" t="s">
        <v>8071</v>
      </c>
      <c r="D543" s="1" t="s">
        <v>5068</v>
      </c>
      <c r="F543" s="1" t="s">
        <v>8072</v>
      </c>
      <c r="G543" s="1" t="s">
        <v>26</v>
      </c>
      <c r="H543" s="1" t="s">
        <v>5102</v>
      </c>
      <c r="I543" s="1" t="s">
        <v>18</v>
      </c>
      <c r="J543" s="1" t="s">
        <v>21</v>
      </c>
      <c r="K543" s="6" t="s">
        <v>8073</v>
      </c>
      <c r="L543" s="6" t="s">
        <v>8074</v>
      </c>
      <c r="M543" s="1" t="s">
        <v>8075</v>
      </c>
      <c r="O543" s="5">
        <v>40648.0</v>
      </c>
      <c r="R543" s="1" t="b">
        <v>0</v>
      </c>
      <c r="T543" s="1">
        <v>190.0</v>
      </c>
      <c r="U543" s="1" t="b">
        <v>0</v>
      </c>
      <c r="V543" s="1" t="s">
        <v>7261</v>
      </c>
      <c r="W543" s="1" t="s">
        <v>8076</v>
      </c>
      <c r="X543" s="1">
        <v>200.0</v>
      </c>
      <c r="Y543" s="1" t="s">
        <v>5075</v>
      </c>
      <c r="Z543" s="1" t="s">
        <v>3999</v>
      </c>
      <c r="AE543" s="6" t="s">
        <v>8077</v>
      </c>
      <c r="AF543" s="6" t="s">
        <v>8058</v>
      </c>
      <c r="AG543" s="5">
        <v>43899.0</v>
      </c>
    </row>
    <row r="544">
      <c r="A544" s="1">
        <v>238341.0</v>
      </c>
      <c r="B544" s="1">
        <v>0.0</v>
      </c>
      <c r="C544" s="1" t="s">
        <v>8078</v>
      </c>
      <c r="D544" s="1" t="s">
        <v>5068</v>
      </c>
      <c r="F544" s="1" t="s">
        <v>8079</v>
      </c>
      <c r="G544" s="1" t="s">
        <v>26</v>
      </c>
      <c r="H544" s="1" t="s">
        <v>5102</v>
      </c>
      <c r="I544" s="1" t="s">
        <v>18</v>
      </c>
      <c r="J544" s="1" t="s">
        <v>21</v>
      </c>
      <c r="K544" s="6" t="s">
        <v>8080</v>
      </c>
      <c r="L544" s="6" t="s">
        <v>8081</v>
      </c>
      <c r="M544" s="1" t="s">
        <v>8082</v>
      </c>
      <c r="O544" s="5">
        <v>41456.0</v>
      </c>
      <c r="R544" s="1" t="b">
        <v>0</v>
      </c>
      <c r="T544" s="1">
        <v>190.0</v>
      </c>
      <c r="U544" s="1" t="b">
        <v>0</v>
      </c>
      <c r="V544" s="1" t="s">
        <v>7261</v>
      </c>
      <c r="W544" s="1" t="s">
        <v>8083</v>
      </c>
      <c r="X544" s="1">
        <v>200.0</v>
      </c>
      <c r="Y544" s="1" t="s">
        <v>5075</v>
      </c>
      <c r="Z544" s="1" t="s">
        <v>3999</v>
      </c>
      <c r="AE544" s="6" t="s">
        <v>8084</v>
      </c>
      <c r="AF544" s="6" t="s">
        <v>8085</v>
      </c>
      <c r="AG544" s="5">
        <v>43899.0</v>
      </c>
    </row>
    <row r="545">
      <c r="A545" s="1">
        <v>238342.0</v>
      </c>
      <c r="B545" s="1">
        <v>0.0</v>
      </c>
      <c r="C545" s="1" t="s">
        <v>8086</v>
      </c>
      <c r="D545" s="1" t="s">
        <v>5068</v>
      </c>
      <c r="F545" s="1" t="s">
        <v>8087</v>
      </c>
      <c r="G545" s="1" t="s">
        <v>26</v>
      </c>
      <c r="H545" s="1" t="s">
        <v>5102</v>
      </c>
      <c r="I545" s="1" t="s">
        <v>18</v>
      </c>
      <c r="J545" s="1" t="s">
        <v>21</v>
      </c>
      <c r="K545" s="6" t="s">
        <v>8088</v>
      </c>
      <c r="L545" s="6" t="s">
        <v>8089</v>
      </c>
      <c r="M545" s="1" t="s">
        <v>8090</v>
      </c>
      <c r="O545" s="5">
        <v>43480.0</v>
      </c>
      <c r="R545" s="1" t="b">
        <v>0</v>
      </c>
      <c r="T545" s="1">
        <v>190.0</v>
      </c>
      <c r="U545" s="1" t="b">
        <v>0</v>
      </c>
      <c r="V545" s="1" t="s">
        <v>5182</v>
      </c>
      <c r="W545" s="1" t="s">
        <v>8091</v>
      </c>
      <c r="X545" s="1">
        <v>200.0</v>
      </c>
      <c r="Y545" s="1" t="s">
        <v>5075</v>
      </c>
      <c r="Z545" s="1" t="s">
        <v>3999</v>
      </c>
      <c r="AE545" s="6" t="s">
        <v>8092</v>
      </c>
      <c r="AF545" s="6" t="s">
        <v>8058</v>
      </c>
      <c r="AG545" s="5">
        <v>43899.0</v>
      </c>
    </row>
    <row r="546">
      <c r="A546" s="1">
        <v>238343.0</v>
      </c>
      <c r="B546" s="1">
        <v>0.0</v>
      </c>
      <c r="C546" s="1" t="s">
        <v>8093</v>
      </c>
      <c r="D546" s="1" t="s">
        <v>5068</v>
      </c>
      <c r="E546" s="5">
        <v>44012.0</v>
      </c>
      <c r="F546" s="1" t="s">
        <v>8094</v>
      </c>
      <c r="G546" s="1" t="s">
        <v>26</v>
      </c>
      <c r="H546" s="1" t="s">
        <v>5102</v>
      </c>
      <c r="I546" s="1" t="s">
        <v>18</v>
      </c>
      <c r="J546" s="1" t="s">
        <v>21</v>
      </c>
      <c r="K546" s="6" t="s">
        <v>8095</v>
      </c>
      <c r="L546" s="6" t="s">
        <v>8096</v>
      </c>
      <c r="M546" s="1" t="s">
        <v>8097</v>
      </c>
      <c r="O546" s="5">
        <v>42898.0</v>
      </c>
      <c r="R546" s="1" t="b">
        <v>0</v>
      </c>
      <c r="T546" s="1">
        <v>609.0</v>
      </c>
      <c r="U546" s="1" t="b">
        <v>0</v>
      </c>
      <c r="V546" s="1" t="s">
        <v>6004</v>
      </c>
      <c r="W546" s="1" t="s">
        <v>8098</v>
      </c>
      <c r="X546" s="1">
        <v>200.0</v>
      </c>
      <c r="Y546" s="1" t="s">
        <v>5075</v>
      </c>
      <c r="Z546" s="1" t="s">
        <v>758</v>
      </c>
      <c r="AE546" s="6" t="s">
        <v>8099</v>
      </c>
      <c r="AF546" s="6" t="s">
        <v>8058</v>
      </c>
      <c r="AG546" s="5">
        <v>43899.0</v>
      </c>
    </row>
    <row r="547">
      <c r="A547" s="1">
        <v>242589.0</v>
      </c>
      <c r="B547" s="1">
        <v>0.0</v>
      </c>
      <c r="C547" s="1" t="s">
        <v>8100</v>
      </c>
      <c r="D547" s="1" t="s">
        <v>5068</v>
      </c>
      <c r="F547" s="1" t="s">
        <v>8101</v>
      </c>
      <c r="G547" s="1" t="s">
        <v>26</v>
      </c>
      <c r="H547" s="1" t="s">
        <v>5419</v>
      </c>
      <c r="I547" s="1" t="s">
        <v>18</v>
      </c>
      <c r="J547" s="1" t="s">
        <v>21</v>
      </c>
      <c r="K547" s="6" t="s">
        <v>8102</v>
      </c>
      <c r="L547" s="6" t="s">
        <v>8103</v>
      </c>
      <c r="M547" s="1" t="s">
        <v>8104</v>
      </c>
      <c r="O547" s="5">
        <v>41422.0</v>
      </c>
      <c r="R547" s="1" t="b">
        <v>0</v>
      </c>
      <c r="U547" s="1" t="b">
        <v>1</v>
      </c>
      <c r="V547" s="1" t="s">
        <v>5688</v>
      </c>
      <c r="W547" s="1" t="s">
        <v>8105</v>
      </c>
      <c r="X547" s="1">
        <v>200.0</v>
      </c>
      <c r="Y547" s="1" t="s">
        <v>5075</v>
      </c>
      <c r="AE547" s="6" t="s">
        <v>8106</v>
      </c>
      <c r="AG547" s="5">
        <v>43934.0</v>
      </c>
    </row>
    <row r="548">
      <c r="A548" s="1">
        <v>242845.0</v>
      </c>
      <c r="B548" s="1">
        <v>0.0</v>
      </c>
      <c r="C548" s="1" t="s">
        <v>8107</v>
      </c>
      <c r="D548" s="1" t="s">
        <v>5068</v>
      </c>
      <c r="F548" s="1" t="s">
        <v>8108</v>
      </c>
      <c r="G548" s="1" t="s">
        <v>26</v>
      </c>
      <c r="H548" s="1" t="s">
        <v>5102</v>
      </c>
      <c r="I548" s="1" t="s">
        <v>18</v>
      </c>
      <c r="J548" s="1" t="s">
        <v>202</v>
      </c>
      <c r="K548" s="6" t="s">
        <v>8109</v>
      </c>
      <c r="L548" s="6" t="s">
        <v>8110</v>
      </c>
      <c r="M548" s="1" t="s">
        <v>8111</v>
      </c>
      <c r="O548" s="5">
        <v>43930.0</v>
      </c>
      <c r="P548" s="5">
        <v>43930.0</v>
      </c>
      <c r="R548" s="1" t="b">
        <v>0</v>
      </c>
      <c r="T548" s="1">
        <v>22.0</v>
      </c>
      <c r="U548" s="1" t="b">
        <v>1</v>
      </c>
      <c r="V548" s="1" t="s">
        <v>5106</v>
      </c>
      <c r="W548" s="1" t="s">
        <v>8112</v>
      </c>
      <c r="X548" s="1">
        <v>200.0</v>
      </c>
      <c r="Y548" s="1" t="s">
        <v>5075</v>
      </c>
      <c r="Z548" s="1" t="s">
        <v>5100</v>
      </c>
      <c r="AG548" s="5">
        <v>43936.0</v>
      </c>
    </row>
    <row r="549">
      <c r="A549" s="1">
        <v>242846.0</v>
      </c>
      <c r="B549" s="1">
        <v>0.0</v>
      </c>
      <c r="C549" s="1" t="s">
        <v>8113</v>
      </c>
      <c r="D549" s="1" t="s">
        <v>5081</v>
      </c>
      <c r="F549" s="1" t="s">
        <v>8114</v>
      </c>
      <c r="G549" s="1" t="s">
        <v>26</v>
      </c>
      <c r="H549" s="1" t="s">
        <v>5102</v>
      </c>
      <c r="I549" s="1" t="s">
        <v>18</v>
      </c>
      <c r="J549" s="1" t="s">
        <v>202</v>
      </c>
      <c r="K549" s="6" t="s">
        <v>8115</v>
      </c>
      <c r="L549" s="6" t="s">
        <v>8116</v>
      </c>
      <c r="M549" s="1" t="s">
        <v>8117</v>
      </c>
      <c r="O549" s="5">
        <v>43930.0</v>
      </c>
      <c r="P549" s="5">
        <v>43930.0</v>
      </c>
      <c r="R549" s="1" t="b">
        <v>0</v>
      </c>
      <c r="T549" s="1">
        <v>22.0</v>
      </c>
      <c r="U549" s="1" t="b">
        <v>1</v>
      </c>
      <c r="V549" s="1" t="s">
        <v>5106</v>
      </c>
      <c r="W549" s="1" t="s">
        <v>8112</v>
      </c>
      <c r="X549" s="1">
        <v>200.0</v>
      </c>
      <c r="Z549" s="1" t="s">
        <v>5100</v>
      </c>
      <c r="AA549" s="1" t="s">
        <v>8108</v>
      </c>
      <c r="AG549" s="5">
        <v>43936.0</v>
      </c>
    </row>
    <row r="550">
      <c r="A550" s="1">
        <v>242847.0</v>
      </c>
      <c r="B550" s="1">
        <v>0.0</v>
      </c>
      <c r="C550" s="1" t="s">
        <v>7588</v>
      </c>
      <c r="D550" s="1" t="s">
        <v>5068</v>
      </c>
      <c r="F550" s="1" t="s">
        <v>8118</v>
      </c>
      <c r="G550" s="1" t="s">
        <v>26</v>
      </c>
      <c r="H550" s="1" t="s">
        <v>5102</v>
      </c>
      <c r="I550" s="1" t="s">
        <v>18</v>
      </c>
      <c r="J550" s="1" t="s">
        <v>5071</v>
      </c>
      <c r="K550" s="6" t="s">
        <v>8119</v>
      </c>
      <c r="L550" s="6" t="s">
        <v>8120</v>
      </c>
      <c r="M550" s="1" t="s">
        <v>8121</v>
      </c>
      <c r="O550" s="5">
        <v>43936.0</v>
      </c>
      <c r="P550" s="5">
        <v>43915.0</v>
      </c>
      <c r="R550" s="1" t="b">
        <v>0</v>
      </c>
      <c r="T550" s="1">
        <v>5.0</v>
      </c>
      <c r="U550" s="1" t="b">
        <v>1</v>
      </c>
      <c r="V550" s="1" t="s">
        <v>5644</v>
      </c>
      <c r="W550" s="1" t="s">
        <v>8122</v>
      </c>
      <c r="X550" s="1">
        <v>200.0</v>
      </c>
      <c r="Y550" s="1" t="s">
        <v>5075</v>
      </c>
      <c r="Z550" s="1" t="s">
        <v>5203</v>
      </c>
      <c r="AE550" s="6" t="s">
        <v>8123</v>
      </c>
      <c r="AF550" s="6" t="s">
        <v>8124</v>
      </c>
      <c r="AG550" s="5">
        <v>43936.0</v>
      </c>
    </row>
    <row r="551">
      <c r="A551" s="1">
        <v>242848.0</v>
      </c>
      <c r="B551" s="1">
        <v>0.0</v>
      </c>
      <c r="C551" s="1" t="s">
        <v>7593</v>
      </c>
      <c r="D551" s="1" t="s">
        <v>5081</v>
      </c>
      <c r="F551" s="1" t="s">
        <v>8125</v>
      </c>
      <c r="G551" s="1" t="s">
        <v>26</v>
      </c>
      <c r="H551" s="1" t="s">
        <v>5102</v>
      </c>
      <c r="I551" s="1" t="s">
        <v>18</v>
      </c>
      <c r="J551" s="1" t="s">
        <v>5071</v>
      </c>
      <c r="K551" s="6" t="s">
        <v>8126</v>
      </c>
      <c r="L551" s="6" t="s">
        <v>8120</v>
      </c>
      <c r="M551" s="1" t="s">
        <v>8127</v>
      </c>
      <c r="O551" s="5">
        <v>43936.0</v>
      </c>
      <c r="P551" s="5">
        <v>43915.0</v>
      </c>
      <c r="R551" s="1" t="b">
        <v>0</v>
      </c>
      <c r="T551" s="1">
        <v>5.0</v>
      </c>
      <c r="U551" s="1" t="b">
        <v>1</v>
      </c>
      <c r="V551" s="1" t="s">
        <v>5644</v>
      </c>
      <c r="W551" s="1" t="s">
        <v>8122</v>
      </c>
      <c r="X551" s="1">
        <v>200.0</v>
      </c>
      <c r="Z551" s="1" t="s">
        <v>5203</v>
      </c>
      <c r="AA551" s="1" t="s">
        <v>8118</v>
      </c>
      <c r="AE551" s="6" t="s">
        <v>8128</v>
      </c>
      <c r="AF551" s="6" t="s">
        <v>8124</v>
      </c>
      <c r="AG551" s="5">
        <v>43936.0</v>
      </c>
    </row>
    <row r="552">
      <c r="A552" s="1">
        <v>245351.0</v>
      </c>
      <c r="B552" s="1">
        <v>0.0</v>
      </c>
      <c r="C552" s="1" t="s">
        <v>181</v>
      </c>
      <c r="D552" s="1" t="s">
        <v>5068</v>
      </c>
      <c r="E552" s="5">
        <v>44713.0</v>
      </c>
      <c r="F552" s="1" t="s">
        <v>182</v>
      </c>
      <c r="G552" s="1" t="s">
        <v>26</v>
      </c>
      <c r="H552" s="1" t="s">
        <v>5419</v>
      </c>
      <c r="I552" s="1" t="s">
        <v>18</v>
      </c>
      <c r="J552" s="1" t="s">
        <v>14</v>
      </c>
      <c r="K552" s="6" t="s">
        <v>8129</v>
      </c>
      <c r="L552" s="6" t="s">
        <v>7618</v>
      </c>
      <c r="M552" s="1" t="s">
        <v>8130</v>
      </c>
      <c r="O552" s="5">
        <v>43826.0</v>
      </c>
      <c r="P552" s="5">
        <v>43826.0</v>
      </c>
      <c r="R552" s="1" t="b">
        <v>0</v>
      </c>
      <c r="U552" s="1" t="b">
        <v>1</v>
      </c>
      <c r="V552" s="1" t="s">
        <v>8131</v>
      </c>
      <c r="W552" s="1" t="s">
        <v>8132</v>
      </c>
      <c r="Y552" s="1" t="s">
        <v>5075</v>
      </c>
      <c r="AB552" s="1" t="s">
        <v>7175</v>
      </c>
      <c r="AC552" s="1" t="s">
        <v>5077</v>
      </c>
      <c r="AD552" s="1" t="s">
        <v>5093</v>
      </c>
      <c r="AE552" s="6" t="s">
        <v>7618</v>
      </c>
      <c r="AF552" s="6" t="s">
        <v>7618</v>
      </c>
      <c r="AG552" s="5">
        <v>43952.0</v>
      </c>
      <c r="AH552" s="1">
        <v>367146.0</v>
      </c>
    </row>
    <row r="553">
      <c r="A553" s="1">
        <v>246801.0</v>
      </c>
      <c r="B553" s="1">
        <v>0.0</v>
      </c>
      <c r="C553" s="1" t="s">
        <v>8133</v>
      </c>
      <c r="D553" s="1" t="s">
        <v>5068</v>
      </c>
      <c r="F553" s="1" t="s">
        <v>8134</v>
      </c>
      <c r="G553" s="1" t="s">
        <v>6122</v>
      </c>
      <c r="H553" s="1" t="s">
        <v>5070</v>
      </c>
      <c r="I553" s="1" t="s">
        <v>516</v>
      </c>
      <c r="J553" s="1" t="s">
        <v>24</v>
      </c>
      <c r="K553" s="6" t="s">
        <v>8135</v>
      </c>
      <c r="L553" s="6" t="s">
        <v>8136</v>
      </c>
      <c r="M553" s="1" t="s">
        <v>8137</v>
      </c>
      <c r="O553" s="5">
        <v>43964.0</v>
      </c>
      <c r="R553" s="1" t="b">
        <v>0</v>
      </c>
      <c r="U553" s="1" t="b">
        <v>0</v>
      </c>
      <c r="V553" s="1" t="s">
        <v>8138</v>
      </c>
      <c r="X553" s="1">
        <v>599.0</v>
      </c>
      <c r="Y553" s="1" t="s">
        <v>5075</v>
      </c>
      <c r="AG553" s="5">
        <v>43971.0</v>
      </c>
    </row>
    <row r="554">
      <c r="A554" s="1">
        <v>246935.0</v>
      </c>
      <c r="B554" s="1">
        <v>0.0</v>
      </c>
      <c r="C554" s="1" t="s">
        <v>8139</v>
      </c>
      <c r="D554" s="1" t="s">
        <v>5068</v>
      </c>
      <c r="F554" s="1" t="s">
        <v>8140</v>
      </c>
      <c r="G554" s="1" t="s">
        <v>26</v>
      </c>
      <c r="H554" s="1" t="s">
        <v>5102</v>
      </c>
      <c r="I554" s="1" t="s">
        <v>516</v>
      </c>
      <c r="J554" s="1" t="s">
        <v>21</v>
      </c>
      <c r="K554" s="6" t="s">
        <v>8141</v>
      </c>
      <c r="L554" s="6" t="s">
        <v>8142</v>
      </c>
      <c r="M554" s="1" t="s">
        <v>8143</v>
      </c>
      <c r="O554" s="5">
        <v>43963.0</v>
      </c>
      <c r="R554" s="1" t="b">
        <v>1</v>
      </c>
      <c r="U554" s="1" t="b">
        <v>0</v>
      </c>
      <c r="V554" s="1" t="s">
        <v>6982</v>
      </c>
      <c r="X554" s="1">
        <v>200.0</v>
      </c>
      <c r="AG554" s="5">
        <v>43972.0</v>
      </c>
    </row>
    <row r="555">
      <c r="A555" s="1">
        <v>246937.0</v>
      </c>
      <c r="B555" s="1">
        <v>0.0</v>
      </c>
      <c r="C555" s="1" t="s">
        <v>8144</v>
      </c>
      <c r="D555" s="1" t="s">
        <v>5068</v>
      </c>
      <c r="F555" s="1" t="s">
        <v>8145</v>
      </c>
      <c r="G555" s="1" t="s">
        <v>26</v>
      </c>
      <c r="H555" s="1" t="s">
        <v>5102</v>
      </c>
      <c r="I555" s="1" t="s">
        <v>516</v>
      </c>
      <c r="J555" s="1" t="s">
        <v>5071</v>
      </c>
      <c r="K555" s="6" t="s">
        <v>8146</v>
      </c>
      <c r="L555" s="6" t="s">
        <v>8147</v>
      </c>
      <c r="M555" s="1" t="s">
        <v>8148</v>
      </c>
      <c r="O555" s="5">
        <v>43967.0</v>
      </c>
      <c r="R555" s="1" t="b">
        <v>1</v>
      </c>
      <c r="U555" s="1" t="b">
        <v>0</v>
      </c>
      <c r="V555" s="1" t="s">
        <v>6982</v>
      </c>
      <c r="X555" s="1">
        <v>200.0</v>
      </c>
      <c r="AE555" s="6" t="s">
        <v>8149</v>
      </c>
      <c r="AG555" s="5">
        <v>43972.0</v>
      </c>
    </row>
    <row r="556">
      <c r="A556" s="1">
        <v>246938.0</v>
      </c>
      <c r="B556" s="1">
        <v>0.0</v>
      </c>
      <c r="C556" s="1" t="s">
        <v>8150</v>
      </c>
      <c r="D556" s="1" t="s">
        <v>5081</v>
      </c>
      <c r="F556" s="1" t="s">
        <v>8151</v>
      </c>
      <c r="G556" s="1" t="s">
        <v>26</v>
      </c>
      <c r="H556" s="1" t="s">
        <v>5102</v>
      </c>
      <c r="I556" s="1" t="s">
        <v>516</v>
      </c>
      <c r="J556" s="1" t="s">
        <v>5071</v>
      </c>
      <c r="K556" s="6" t="s">
        <v>8152</v>
      </c>
      <c r="L556" s="6" t="s">
        <v>8153</v>
      </c>
      <c r="M556" s="1" t="s">
        <v>8154</v>
      </c>
      <c r="O556" s="5">
        <v>43967.0</v>
      </c>
      <c r="R556" s="1" t="b">
        <v>1</v>
      </c>
      <c r="U556" s="1" t="b">
        <v>0</v>
      </c>
      <c r="V556" s="1" t="s">
        <v>6982</v>
      </c>
      <c r="X556" s="1">
        <v>200.0</v>
      </c>
      <c r="AA556" s="1" t="s">
        <v>8145</v>
      </c>
      <c r="AE556" s="6" t="s">
        <v>8149</v>
      </c>
      <c r="AG556" s="5">
        <v>43972.0</v>
      </c>
    </row>
    <row r="557">
      <c r="A557" s="1">
        <v>248586.0</v>
      </c>
      <c r="B557" s="1">
        <v>0.0</v>
      </c>
      <c r="C557" s="1" t="s">
        <v>8155</v>
      </c>
      <c r="D557" s="1" t="s">
        <v>5068</v>
      </c>
      <c r="F557" s="1" t="s">
        <v>8156</v>
      </c>
      <c r="G557" s="1" t="s">
        <v>26</v>
      </c>
      <c r="H557" s="1" t="s">
        <v>5070</v>
      </c>
      <c r="I557" s="1" t="s">
        <v>18</v>
      </c>
      <c r="J557" s="1" t="s">
        <v>21</v>
      </c>
      <c r="K557" s="6" t="s">
        <v>8157</v>
      </c>
      <c r="L557" s="6" t="s">
        <v>8158</v>
      </c>
      <c r="M557" s="1" t="s">
        <v>8159</v>
      </c>
      <c r="O557" s="5">
        <v>41983.0</v>
      </c>
      <c r="R557" s="1" t="b">
        <v>0</v>
      </c>
      <c r="U557" s="1" t="b">
        <v>0</v>
      </c>
      <c r="V557" s="1" t="s">
        <v>7203</v>
      </c>
      <c r="W557" s="1" t="s">
        <v>8160</v>
      </c>
      <c r="X557" s="1">
        <v>200.0</v>
      </c>
      <c r="Y557" s="1" t="s">
        <v>5075</v>
      </c>
      <c r="AE557" s="6" t="s">
        <v>8161</v>
      </c>
      <c r="AG557" s="5">
        <v>43990.0</v>
      </c>
    </row>
    <row r="558">
      <c r="A558" s="1">
        <v>249039.0</v>
      </c>
      <c r="B558" s="1">
        <v>0.0</v>
      </c>
      <c r="C558" s="1" t="s">
        <v>8162</v>
      </c>
      <c r="D558" s="1" t="s">
        <v>5068</v>
      </c>
      <c r="F558" s="1" t="s">
        <v>8163</v>
      </c>
      <c r="G558" s="1" t="s">
        <v>26</v>
      </c>
      <c r="H558" s="1" t="s">
        <v>5102</v>
      </c>
      <c r="I558" s="1" t="s">
        <v>516</v>
      </c>
      <c r="J558" s="1" t="s">
        <v>5071</v>
      </c>
      <c r="K558" s="6" t="s">
        <v>8164</v>
      </c>
      <c r="L558" s="6" t="s">
        <v>8165</v>
      </c>
      <c r="M558" s="1" t="s">
        <v>8166</v>
      </c>
      <c r="O558" s="5">
        <v>43988.0</v>
      </c>
      <c r="R558" s="1" t="b">
        <v>1</v>
      </c>
      <c r="U558" s="1" t="b">
        <v>0</v>
      </c>
      <c r="V558" s="1" t="s">
        <v>6982</v>
      </c>
      <c r="X558" s="1">
        <v>200.0</v>
      </c>
      <c r="AE558" s="6" t="s">
        <v>8167</v>
      </c>
      <c r="AG558" s="5">
        <v>43993.0</v>
      </c>
    </row>
    <row r="559">
      <c r="A559" s="1">
        <v>249040.0</v>
      </c>
      <c r="B559" s="1">
        <v>0.0</v>
      </c>
      <c r="C559" s="1" t="s">
        <v>8168</v>
      </c>
      <c r="D559" s="1" t="s">
        <v>5081</v>
      </c>
      <c r="F559" s="1" t="s">
        <v>8169</v>
      </c>
      <c r="G559" s="1" t="s">
        <v>26</v>
      </c>
      <c r="H559" s="1" t="s">
        <v>5102</v>
      </c>
      <c r="I559" s="1" t="s">
        <v>516</v>
      </c>
      <c r="J559" s="1" t="s">
        <v>5071</v>
      </c>
      <c r="K559" s="6" t="s">
        <v>8170</v>
      </c>
      <c r="L559" s="6" t="s">
        <v>8171</v>
      </c>
      <c r="M559" s="1" t="s">
        <v>8172</v>
      </c>
      <c r="O559" s="5">
        <v>43988.0</v>
      </c>
      <c r="R559" s="1" t="b">
        <v>1</v>
      </c>
      <c r="U559" s="1" t="b">
        <v>0</v>
      </c>
      <c r="V559" s="1" t="s">
        <v>6982</v>
      </c>
      <c r="X559" s="1">
        <v>200.0</v>
      </c>
      <c r="AA559" s="1" t="s">
        <v>8163</v>
      </c>
      <c r="AE559" s="6" t="s">
        <v>8167</v>
      </c>
      <c r="AG559" s="5">
        <v>43993.0</v>
      </c>
    </row>
    <row r="560">
      <c r="A560" s="1">
        <v>249041.0</v>
      </c>
      <c r="B560" s="1">
        <v>0.0</v>
      </c>
      <c r="C560" s="1" t="s">
        <v>8173</v>
      </c>
      <c r="D560" s="1" t="s">
        <v>5068</v>
      </c>
      <c r="F560" s="1" t="s">
        <v>8174</v>
      </c>
      <c r="G560" s="1" t="s">
        <v>26</v>
      </c>
      <c r="H560" s="1" t="s">
        <v>5102</v>
      </c>
      <c r="I560" s="1" t="s">
        <v>516</v>
      </c>
      <c r="J560" s="1" t="s">
        <v>5071</v>
      </c>
      <c r="K560" s="6" t="s">
        <v>8175</v>
      </c>
      <c r="L560" s="6" t="s">
        <v>8176</v>
      </c>
      <c r="M560" s="1" t="s">
        <v>8177</v>
      </c>
      <c r="O560" s="5">
        <v>43988.0</v>
      </c>
      <c r="R560" s="1" t="b">
        <v>1</v>
      </c>
      <c r="U560" s="1" t="b">
        <v>0</v>
      </c>
      <c r="V560" s="1" t="s">
        <v>6982</v>
      </c>
      <c r="X560" s="1">
        <v>200.0</v>
      </c>
      <c r="AE560" s="6" t="s">
        <v>8167</v>
      </c>
      <c r="AG560" s="5">
        <v>43993.0</v>
      </c>
    </row>
    <row r="561">
      <c r="A561" s="1">
        <v>249042.0</v>
      </c>
      <c r="B561" s="1">
        <v>0.0</v>
      </c>
      <c r="C561" s="1" t="s">
        <v>8178</v>
      </c>
      <c r="D561" s="1" t="s">
        <v>5081</v>
      </c>
      <c r="F561" s="1" t="s">
        <v>8179</v>
      </c>
      <c r="G561" s="1" t="s">
        <v>26</v>
      </c>
      <c r="H561" s="1" t="s">
        <v>5102</v>
      </c>
      <c r="I561" s="1" t="s">
        <v>516</v>
      </c>
      <c r="J561" s="1" t="s">
        <v>5071</v>
      </c>
      <c r="K561" s="6" t="s">
        <v>8180</v>
      </c>
      <c r="L561" s="6" t="s">
        <v>8181</v>
      </c>
      <c r="M561" s="1" t="s">
        <v>8182</v>
      </c>
      <c r="O561" s="5">
        <v>43988.0</v>
      </c>
      <c r="R561" s="1" t="b">
        <v>1</v>
      </c>
      <c r="U561" s="1" t="b">
        <v>0</v>
      </c>
      <c r="V561" s="1" t="s">
        <v>6982</v>
      </c>
      <c r="X561" s="1">
        <v>200.0</v>
      </c>
      <c r="AA561" s="1" t="s">
        <v>8174</v>
      </c>
      <c r="AE561" s="6" t="s">
        <v>8167</v>
      </c>
      <c r="AG561" s="5">
        <v>43993.0</v>
      </c>
    </row>
    <row r="562">
      <c r="A562" s="1">
        <v>249853.0</v>
      </c>
      <c r="B562" s="1">
        <v>0.0</v>
      </c>
      <c r="C562" s="1" t="s">
        <v>8183</v>
      </c>
      <c r="D562" s="1" t="s">
        <v>5068</v>
      </c>
      <c r="F562" s="1" t="s">
        <v>8184</v>
      </c>
      <c r="G562" s="1" t="s">
        <v>26</v>
      </c>
      <c r="H562" s="1" t="s">
        <v>5102</v>
      </c>
      <c r="I562" s="1" t="s">
        <v>516</v>
      </c>
      <c r="J562" s="1" t="s">
        <v>70</v>
      </c>
      <c r="K562" s="6" t="s">
        <v>8185</v>
      </c>
      <c r="L562" s="6" t="s">
        <v>8186</v>
      </c>
      <c r="M562" s="1" t="s">
        <v>8187</v>
      </c>
      <c r="O562" s="5">
        <v>43994.0</v>
      </c>
      <c r="R562" s="1" t="b">
        <v>1</v>
      </c>
      <c r="U562" s="1" t="b">
        <v>0</v>
      </c>
      <c r="V562" s="1" t="s">
        <v>6982</v>
      </c>
      <c r="X562" s="1">
        <v>200.0</v>
      </c>
      <c r="AG562" s="5">
        <v>44000.0</v>
      </c>
    </row>
    <row r="563">
      <c r="A563" s="1">
        <v>251555.0</v>
      </c>
      <c r="B563" s="1">
        <v>0.0</v>
      </c>
      <c r="C563" s="1" t="s">
        <v>8188</v>
      </c>
      <c r="D563" s="1" t="s">
        <v>5068</v>
      </c>
      <c r="F563" s="1" t="s">
        <v>8189</v>
      </c>
      <c r="G563" s="1" t="s">
        <v>5368</v>
      </c>
      <c r="H563" s="1" t="s">
        <v>5102</v>
      </c>
      <c r="I563" s="1" t="s">
        <v>18</v>
      </c>
      <c r="J563" s="1" t="s">
        <v>21</v>
      </c>
      <c r="K563" s="6" t="s">
        <v>8190</v>
      </c>
      <c r="L563" s="6" t="s">
        <v>8191</v>
      </c>
      <c r="M563" s="1" t="s">
        <v>8192</v>
      </c>
      <c r="O563" s="5">
        <v>44012.0</v>
      </c>
      <c r="P563" s="5">
        <v>44166.0</v>
      </c>
      <c r="R563" s="1" t="b">
        <v>0</v>
      </c>
      <c r="T563" s="1">
        <v>190.0</v>
      </c>
      <c r="U563" s="1" t="b">
        <v>1</v>
      </c>
      <c r="V563" s="1" t="s">
        <v>6004</v>
      </c>
      <c r="W563" s="1" t="s">
        <v>8193</v>
      </c>
      <c r="X563" s="1">
        <v>200.0</v>
      </c>
      <c r="Y563" s="1" t="s">
        <v>5075</v>
      </c>
      <c r="Z563" s="1" t="s">
        <v>3999</v>
      </c>
      <c r="AB563" s="1" t="s">
        <v>8194</v>
      </c>
      <c r="AG563" s="5">
        <v>44026.0</v>
      </c>
    </row>
    <row r="564">
      <c r="A564" s="1">
        <v>393615.0</v>
      </c>
      <c r="B564" s="1">
        <v>0.0</v>
      </c>
      <c r="C564" s="1" t="s">
        <v>8195</v>
      </c>
      <c r="D564" s="1" t="s">
        <v>5068</v>
      </c>
      <c r="F564" s="1" t="s">
        <v>8196</v>
      </c>
      <c r="G564" s="1" t="s">
        <v>26</v>
      </c>
      <c r="H564" s="1" t="s">
        <v>5102</v>
      </c>
      <c r="I564" s="1" t="s">
        <v>516</v>
      </c>
      <c r="J564" s="1" t="s">
        <v>21</v>
      </c>
      <c r="K564" s="6" t="s">
        <v>8197</v>
      </c>
      <c r="L564" s="6" t="s">
        <v>8198</v>
      </c>
      <c r="M564" s="1" t="s">
        <v>8199</v>
      </c>
      <c r="O564" s="5">
        <v>44042.0</v>
      </c>
      <c r="R564" s="1" t="b">
        <v>1</v>
      </c>
      <c r="U564" s="1" t="b">
        <v>0</v>
      </c>
      <c r="V564" s="1" t="s">
        <v>6982</v>
      </c>
      <c r="X564" s="1">
        <v>200.0</v>
      </c>
      <c r="AG564" s="5">
        <v>44048.0</v>
      </c>
    </row>
    <row r="565">
      <c r="A565" s="1">
        <v>397426.0</v>
      </c>
      <c r="B565" s="1">
        <v>0.0</v>
      </c>
      <c r="C565" s="1" t="s">
        <v>8200</v>
      </c>
      <c r="D565" s="1" t="s">
        <v>5068</v>
      </c>
      <c r="F565" s="1" t="s">
        <v>8201</v>
      </c>
      <c r="G565" s="1" t="s">
        <v>8202</v>
      </c>
      <c r="H565" s="1" t="s">
        <v>5070</v>
      </c>
      <c r="I565" s="1" t="s">
        <v>516</v>
      </c>
      <c r="J565" s="1" t="s">
        <v>24</v>
      </c>
      <c r="K565" s="6" t="s">
        <v>8203</v>
      </c>
      <c r="L565" s="6" t="s">
        <v>8204</v>
      </c>
      <c r="M565" s="1" t="s">
        <v>8205</v>
      </c>
      <c r="O565" s="5">
        <v>44040.0</v>
      </c>
      <c r="R565" s="1" t="b">
        <v>0</v>
      </c>
      <c r="U565" s="1" t="b">
        <v>0</v>
      </c>
      <c r="V565" s="1" t="s">
        <v>8206</v>
      </c>
      <c r="X565" s="1">
        <v>200.0</v>
      </c>
      <c r="Y565" s="1" t="s">
        <v>5075</v>
      </c>
      <c r="AB565" s="1" t="s">
        <v>8207</v>
      </c>
      <c r="AE565" s="6" t="s">
        <v>8208</v>
      </c>
      <c r="AG565" s="5">
        <v>44071.0</v>
      </c>
    </row>
    <row r="566">
      <c r="A566" s="1">
        <v>397807.0</v>
      </c>
      <c r="B566" s="1">
        <v>0.0</v>
      </c>
      <c r="C566" s="1" t="s">
        <v>153</v>
      </c>
      <c r="D566" s="1" t="s">
        <v>5068</v>
      </c>
      <c r="E566" s="5">
        <v>44805.0</v>
      </c>
      <c r="F566" s="1" t="s">
        <v>154</v>
      </c>
      <c r="G566" s="1" t="s">
        <v>26</v>
      </c>
      <c r="H566" s="1" t="s">
        <v>5419</v>
      </c>
      <c r="I566" s="1" t="s">
        <v>18</v>
      </c>
      <c r="J566" s="1" t="s">
        <v>24</v>
      </c>
      <c r="K566" s="6" t="s">
        <v>8209</v>
      </c>
      <c r="L566" s="6" t="s">
        <v>8210</v>
      </c>
      <c r="M566" s="1" t="s">
        <v>8211</v>
      </c>
      <c r="O566" s="5">
        <v>43819.0</v>
      </c>
      <c r="P566" s="5">
        <v>43819.0</v>
      </c>
      <c r="R566" s="1" t="b">
        <v>0</v>
      </c>
      <c r="U566" s="1" t="b">
        <v>0</v>
      </c>
      <c r="V566" s="1" t="s">
        <v>8212</v>
      </c>
      <c r="W566" s="1" t="s">
        <v>8213</v>
      </c>
      <c r="X566" s="1">
        <v>200.0</v>
      </c>
      <c r="Y566" s="1" t="s">
        <v>5142</v>
      </c>
      <c r="AC566" s="1" t="s">
        <v>5077</v>
      </c>
      <c r="AD566" s="1" t="s">
        <v>5093</v>
      </c>
      <c r="AE566" s="6" t="s">
        <v>8214</v>
      </c>
      <c r="AG566" s="5">
        <v>44075.0</v>
      </c>
      <c r="AH566" s="1">
        <v>368750.0</v>
      </c>
    </row>
    <row r="567">
      <c r="A567" s="1">
        <v>398937.0</v>
      </c>
      <c r="B567" s="1">
        <v>0.0</v>
      </c>
      <c r="C567" s="1" t="s">
        <v>8215</v>
      </c>
      <c r="D567" s="1" t="s">
        <v>5068</v>
      </c>
      <c r="F567" s="1" t="s">
        <v>8216</v>
      </c>
      <c r="G567" s="1" t="s">
        <v>26</v>
      </c>
      <c r="H567" s="1" t="s">
        <v>5102</v>
      </c>
      <c r="I567" s="1" t="s">
        <v>516</v>
      </c>
      <c r="J567" s="1" t="s">
        <v>5071</v>
      </c>
      <c r="K567" s="6" t="s">
        <v>8217</v>
      </c>
      <c r="L567" s="6" t="s">
        <v>8218</v>
      </c>
      <c r="M567" s="1" t="s">
        <v>8219</v>
      </c>
      <c r="O567" s="5">
        <v>44072.0</v>
      </c>
      <c r="R567" s="1" t="b">
        <v>1</v>
      </c>
      <c r="U567" s="1" t="b">
        <v>0</v>
      </c>
      <c r="V567" s="1" t="s">
        <v>6982</v>
      </c>
      <c r="X567" s="1">
        <v>200.0</v>
      </c>
      <c r="AE567" s="6" t="s">
        <v>8220</v>
      </c>
      <c r="AG567" s="5">
        <v>44088.0</v>
      </c>
    </row>
    <row r="568">
      <c r="A568" s="1">
        <v>398938.0</v>
      </c>
      <c r="B568" s="1">
        <v>0.0</v>
      </c>
      <c r="C568" s="1" t="s">
        <v>8221</v>
      </c>
      <c r="D568" s="1" t="s">
        <v>5081</v>
      </c>
      <c r="F568" s="1" t="s">
        <v>8222</v>
      </c>
      <c r="G568" s="1" t="s">
        <v>26</v>
      </c>
      <c r="H568" s="1" t="s">
        <v>5102</v>
      </c>
      <c r="I568" s="1" t="s">
        <v>516</v>
      </c>
      <c r="J568" s="1" t="s">
        <v>5071</v>
      </c>
      <c r="K568" s="6" t="s">
        <v>8223</v>
      </c>
      <c r="L568" s="6" t="s">
        <v>8224</v>
      </c>
      <c r="M568" s="1" t="s">
        <v>8225</v>
      </c>
      <c r="O568" s="5">
        <v>44072.0</v>
      </c>
      <c r="R568" s="1" t="b">
        <v>1</v>
      </c>
      <c r="U568" s="1" t="b">
        <v>0</v>
      </c>
      <c r="V568" s="1" t="s">
        <v>6982</v>
      </c>
      <c r="X568" s="1">
        <v>200.0</v>
      </c>
      <c r="AA568" s="1" t="s">
        <v>8216</v>
      </c>
      <c r="AE568" s="6" t="s">
        <v>8220</v>
      </c>
      <c r="AG568" s="5">
        <v>44088.0</v>
      </c>
    </row>
    <row r="569">
      <c r="A569" s="1">
        <v>399768.0</v>
      </c>
      <c r="B569" s="1">
        <v>1.0</v>
      </c>
      <c r="C569" s="1" t="s">
        <v>8226</v>
      </c>
      <c r="D569" s="1" t="s">
        <v>5068</v>
      </c>
      <c r="E569" s="5">
        <v>44076.0</v>
      </c>
      <c r="F569" s="1" t="s">
        <v>8227</v>
      </c>
      <c r="G569" s="1" t="s">
        <v>26</v>
      </c>
      <c r="H569" s="1" t="s">
        <v>5102</v>
      </c>
      <c r="I569" s="1" t="s">
        <v>18</v>
      </c>
      <c r="J569" s="1" t="s">
        <v>202</v>
      </c>
      <c r="K569" s="6" t="s">
        <v>8228</v>
      </c>
      <c r="L569" s="6" t="s">
        <v>8229</v>
      </c>
      <c r="M569" s="1" t="s">
        <v>8230</v>
      </c>
      <c r="R569" s="1" t="b">
        <v>0</v>
      </c>
      <c r="T569" s="1">
        <v>6.0</v>
      </c>
      <c r="U569" s="1" t="b">
        <v>0</v>
      </c>
      <c r="V569" s="1" t="s">
        <v>8231</v>
      </c>
      <c r="W569" s="1" t="s">
        <v>8232</v>
      </c>
      <c r="X569" s="1">
        <v>200.0</v>
      </c>
      <c r="Z569" s="1" t="s">
        <v>1672</v>
      </c>
      <c r="AC569" s="1" t="s">
        <v>5077</v>
      </c>
      <c r="AD569" s="1" t="s">
        <v>5093</v>
      </c>
      <c r="AG569" s="5">
        <v>44096.0</v>
      </c>
      <c r="AH569" s="1">
        <v>314947.0</v>
      </c>
    </row>
    <row r="570">
      <c r="A570" s="1">
        <v>399769.0</v>
      </c>
      <c r="B570" s="1">
        <v>1.0</v>
      </c>
      <c r="C570" s="1" t="s">
        <v>8233</v>
      </c>
      <c r="D570" s="1" t="s">
        <v>5081</v>
      </c>
      <c r="E570" s="5">
        <v>44076.0</v>
      </c>
      <c r="F570" s="1" t="s">
        <v>8234</v>
      </c>
      <c r="G570" s="1" t="s">
        <v>26</v>
      </c>
      <c r="H570" s="1" t="s">
        <v>5102</v>
      </c>
      <c r="I570" s="1" t="s">
        <v>18</v>
      </c>
      <c r="J570" s="1" t="s">
        <v>202</v>
      </c>
      <c r="K570" s="6" t="s">
        <v>8235</v>
      </c>
      <c r="L570" s="6" t="s">
        <v>8236</v>
      </c>
      <c r="M570" s="1" t="s">
        <v>8237</v>
      </c>
      <c r="R570" s="1" t="b">
        <v>0</v>
      </c>
      <c r="T570" s="1">
        <v>6.0</v>
      </c>
      <c r="U570" s="1" t="b">
        <v>0</v>
      </c>
      <c r="V570" s="1" t="s">
        <v>8231</v>
      </c>
      <c r="W570" s="1" t="s">
        <v>8232</v>
      </c>
      <c r="X570" s="1">
        <v>200.0</v>
      </c>
      <c r="Z570" s="1" t="s">
        <v>1672</v>
      </c>
      <c r="AA570" s="1" t="s">
        <v>8227</v>
      </c>
      <c r="AG570" s="5">
        <v>44096.0</v>
      </c>
    </row>
    <row r="571">
      <c r="A571" s="1">
        <v>400171.0</v>
      </c>
      <c r="B571" s="1">
        <v>0.0</v>
      </c>
      <c r="C571" s="1" t="s">
        <v>7880</v>
      </c>
      <c r="D571" s="1" t="s">
        <v>5068</v>
      </c>
      <c r="F571" s="1" t="s">
        <v>8238</v>
      </c>
      <c r="G571" s="1" t="s">
        <v>5136</v>
      </c>
      <c r="H571" s="1" t="s">
        <v>5102</v>
      </c>
      <c r="I571" s="1" t="s">
        <v>516</v>
      </c>
      <c r="J571" s="1" t="s">
        <v>5071</v>
      </c>
      <c r="K571" s="6" t="s">
        <v>8239</v>
      </c>
      <c r="L571" s="6" t="s">
        <v>8240</v>
      </c>
      <c r="M571" s="1" t="s">
        <v>8241</v>
      </c>
      <c r="O571" s="5">
        <v>44097.0</v>
      </c>
      <c r="R571" s="1" t="b">
        <v>1</v>
      </c>
      <c r="U571" s="1" t="b">
        <v>0</v>
      </c>
      <c r="V571" s="1" t="s">
        <v>6982</v>
      </c>
      <c r="X571" s="1">
        <v>200.0</v>
      </c>
      <c r="AE571" s="6" t="s">
        <v>8242</v>
      </c>
      <c r="AG571" s="5">
        <v>44102.0</v>
      </c>
    </row>
    <row r="572">
      <c r="A572" s="1">
        <v>400172.0</v>
      </c>
      <c r="B572" s="1">
        <v>0.0</v>
      </c>
      <c r="C572" s="1" t="s">
        <v>7886</v>
      </c>
      <c r="D572" s="1" t="s">
        <v>5081</v>
      </c>
      <c r="F572" s="1" t="s">
        <v>8243</v>
      </c>
      <c r="G572" s="1" t="s">
        <v>5136</v>
      </c>
      <c r="H572" s="1" t="s">
        <v>5102</v>
      </c>
      <c r="I572" s="1" t="s">
        <v>516</v>
      </c>
      <c r="J572" s="1" t="s">
        <v>5071</v>
      </c>
      <c r="K572" s="6" t="s">
        <v>8244</v>
      </c>
      <c r="L572" s="6" t="s">
        <v>8245</v>
      </c>
      <c r="M572" s="1" t="s">
        <v>8246</v>
      </c>
      <c r="O572" s="5">
        <v>44097.0</v>
      </c>
      <c r="R572" s="1" t="b">
        <v>1</v>
      </c>
      <c r="U572" s="1" t="b">
        <v>0</v>
      </c>
      <c r="V572" s="1" t="s">
        <v>6982</v>
      </c>
      <c r="X572" s="1">
        <v>200.0</v>
      </c>
      <c r="AA572" s="1" t="s">
        <v>8238</v>
      </c>
      <c r="AE572" s="6" t="s">
        <v>8247</v>
      </c>
      <c r="AG572" s="5">
        <v>44102.0</v>
      </c>
    </row>
    <row r="573">
      <c r="A573" s="1">
        <v>400329.0</v>
      </c>
      <c r="B573" s="1">
        <v>0.0</v>
      </c>
      <c r="C573" s="1" t="s">
        <v>6456</v>
      </c>
      <c r="D573" s="1" t="s">
        <v>5068</v>
      </c>
      <c r="E573" s="5">
        <v>44484.0</v>
      </c>
      <c r="F573" s="1" t="s">
        <v>8248</v>
      </c>
      <c r="G573" s="1" t="s">
        <v>5368</v>
      </c>
      <c r="H573" s="1" t="s">
        <v>5102</v>
      </c>
      <c r="I573" s="1" t="s">
        <v>18</v>
      </c>
      <c r="J573" s="1" t="s">
        <v>21</v>
      </c>
      <c r="K573" s="6" t="s">
        <v>8249</v>
      </c>
      <c r="L573" s="6" t="s">
        <v>8250</v>
      </c>
      <c r="M573" s="1" t="s">
        <v>8251</v>
      </c>
      <c r="O573" s="5">
        <v>43677.0</v>
      </c>
      <c r="P573" s="5">
        <v>43656.0</v>
      </c>
      <c r="R573" s="1" t="b">
        <v>0</v>
      </c>
      <c r="T573" s="1">
        <v>3711.0</v>
      </c>
      <c r="U573" s="1" t="b">
        <v>0</v>
      </c>
      <c r="V573" s="1" t="s">
        <v>6461</v>
      </c>
      <c r="W573" s="1" t="s">
        <v>6462</v>
      </c>
      <c r="X573" s="1">
        <v>200.0</v>
      </c>
      <c r="Z573" s="1" t="s">
        <v>752</v>
      </c>
      <c r="AE573" s="6" t="s">
        <v>8252</v>
      </c>
      <c r="AG573" s="5">
        <v>44104.0</v>
      </c>
    </row>
    <row r="574">
      <c r="A574" s="1">
        <v>401700.0</v>
      </c>
      <c r="B574" s="1">
        <v>0.0</v>
      </c>
      <c r="C574" s="1" t="s">
        <v>8253</v>
      </c>
      <c r="D574" s="1" t="s">
        <v>5068</v>
      </c>
      <c r="F574" s="1" t="s">
        <v>8254</v>
      </c>
      <c r="G574" s="1" t="s">
        <v>5136</v>
      </c>
      <c r="H574" s="1" t="s">
        <v>5102</v>
      </c>
      <c r="I574" s="1" t="s">
        <v>516</v>
      </c>
      <c r="J574" s="1" t="s">
        <v>5071</v>
      </c>
      <c r="K574" s="6" t="s">
        <v>8255</v>
      </c>
      <c r="L574" s="6" t="s">
        <v>8256</v>
      </c>
      <c r="M574" s="1" t="s">
        <v>8257</v>
      </c>
      <c r="O574" s="5">
        <v>44114.0</v>
      </c>
      <c r="R574" s="1" t="b">
        <v>1</v>
      </c>
      <c r="U574" s="1" t="b">
        <v>0</v>
      </c>
      <c r="V574" s="1" t="s">
        <v>6982</v>
      </c>
      <c r="X574" s="1">
        <v>200.0</v>
      </c>
      <c r="AE574" s="6" t="s">
        <v>8258</v>
      </c>
      <c r="AG574" s="5">
        <v>44119.0</v>
      </c>
    </row>
    <row r="575">
      <c r="A575" s="1">
        <v>401701.0</v>
      </c>
      <c r="B575" s="1">
        <v>0.0</v>
      </c>
      <c r="C575" s="1" t="s">
        <v>8259</v>
      </c>
      <c r="D575" s="1" t="s">
        <v>5081</v>
      </c>
      <c r="F575" s="1" t="s">
        <v>8260</v>
      </c>
      <c r="G575" s="1" t="s">
        <v>5136</v>
      </c>
      <c r="H575" s="1" t="s">
        <v>5102</v>
      </c>
      <c r="I575" s="1" t="s">
        <v>516</v>
      </c>
      <c r="J575" s="1" t="s">
        <v>5071</v>
      </c>
      <c r="K575" s="6" t="s">
        <v>8261</v>
      </c>
      <c r="L575" s="6" t="s">
        <v>8262</v>
      </c>
      <c r="M575" s="1" t="s">
        <v>8263</v>
      </c>
      <c r="O575" s="5">
        <v>44114.0</v>
      </c>
      <c r="R575" s="1" t="b">
        <v>1</v>
      </c>
      <c r="U575" s="1" t="b">
        <v>0</v>
      </c>
      <c r="V575" s="1" t="s">
        <v>6982</v>
      </c>
      <c r="X575" s="1">
        <v>200.0</v>
      </c>
      <c r="AA575" s="1" t="s">
        <v>8254</v>
      </c>
      <c r="AE575" s="6" t="s">
        <v>8258</v>
      </c>
      <c r="AG575" s="5">
        <v>44119.0</v>
      </c>
    </row>
    <row r="576">
      <c r="A576" s="1">
        <v>401705.0</v>
      </c>
      <c r="B576" s="1">
        <v>0.0</v>
      </c>
      <c r="C576" s="1" t="s">
        <v>8264</v>
      </c>
      <c r="D576" s="1" t="s">
        <v>5068</v>
      </c>
      <c r="F576" s="1" t="s">
        <v>8265</v>
      </c>
      <c r="G576" s="1" t="s">
        <v>26</v>
      </c>
      <c r="H576" s="1" t="s">
        <v>5102</v>
      </c>
      <c r="I576" s="1" t="s">
        <v>7579</v>
      </c>
      <c r="J576" s="1" t="s">
        <v>221</v>
      </c>
      <c r="K576" s="1" t="s">
        <v>5072</v>
      </c>
      <c r="L576" s="6" t="s">
        <v>8266</v>
      </c>
      <c r="M576" s="1" t="s">
        <v>8267</v>
      </c>
      <c r="R576" s="1" t="b">
        <v>1</v>
      </c>
      <c r="U576" s="1" t="b">
        <v>0</v>
      </c>
      <c r="V576" s="1" t="s">
        <v>6982</v>
      </c>
      <c r="X576" s="1">
        <v>200.0</v>
      </c>
      <c r="AG576" s="5">
        <v>44119.0</v>
      </c>
    </row>
    <row r="577">
      <c r="A577" s="1">
        <v>404047.0</v>
      </c>
      <c r="B577" s="1">
        <v>0.0</v>
      </c>
      <c r="C577" s="1" t="s">
        <v>8268</v>
      </c>
      <c r="D577" s="1" t="s">
        <v>5068</v>
      </c>
      <c r="F577" s="1" t="s">
        <v>8269</v>
      </c>
      <c r="G577" s="1" t="s">
        <v>26</v>
      </c>
      <c r="H577" s="1" t="s">
        <v>5102</v>
      </c>
      <c r="I577" s="1" t="s">
        <v>516</v>
      </c>
      <c r="J577" s="1" t="s">
        <v>21</v>
      </c>
      <c r="K577" s="6" t="s">
        <v>8270</v>
      </c>
      <c r="L577" s="6" t="s">
        <v>8271</v>
      </c>
      <c r="M577" s="1" t="s">
        <v>8272</v>
      </c>
      <c r="O577" s="5">
        <v>44127.0</v>
      </c>
      <c r="R577" s="1" t="b">
        <v>1</v>
      </c>
      <c r="U577" s="1" t="b">
        <v>0</v>
      </c>
      <c r="V577" s="1" t="s">
        <v>6982</v>
      </c>
      <c r="X577" s="1">
        <v>200.0</v>
      </c>
      <c r="AG577" s="5">
        <v>44134.0</v>
      </c>
    </row>
    <row r="578">
      <c r="A578" s="1">
        <v>405022.0</v>
      </c>
      <c r="B578" s="1">
        <v>0.0</v>
      </c>
      <c r="C578" s="1" t="s">
        <v>8173</v>
      </c>
      <c r="D578" s="1" t="s">
        <v>5068</v>
      </c>
      <c r="F578" s="1" t="s">
        <v>8273</v>
      </c>
      <c r="G578" s="1" t="s">
        <v>26</v>
      </c>
      <c r="H578" s="1" t="s">
        <v>5102</v>
      </c>
      <c r="I578" s="1" t="s">
        <v>18</v>
      </c>
      <c r="J578" s="1" t="s">
        <v>5071</v>
      </c>
      <c r="K578" s="6" t="s">
        <v>8274</v>
      </c>
      <c r="L578" s="6" t="s">
        <v>8275</v>
      </c>
      <c r="M578" s="1" t="s">
        <v>8276</v>
      </c>
      <c r="O578" s="5">
        <v>44146.0</v>
      </c>
      <c r="P578" s="5">
        <v>44130.0</v>
      </c>
      <c r="R578" s="1" t="b">
        <v>0</v>
      </c>
      <c r="T578" s="1">
        <v>5.0</v>
      </c>
      <c r="U578" s="1" t="b">
        <v>1</v>
      </c>
      <c r="V578" s="1" t="s">
        <v>5644</v>
      </c>
      <c r="W578" s="1" t="s">
        <v>8277</v>
      </c>
      <c r="X578" s="1">
        <v>200.0</v>
      </c>
      <c r="Y578" s="1" t="s">
        <v>5075</v>
      </c>
      <c r="Z578" s="1" t="s">
        <v>5203</v>
      </c>
      <c r="AE578" s="6" t="s">
        <v>8278</v>
      </c>
      <c r="AF578" s="6" t="s">
        <v>8279</v>
      </c>
      <c r="AG578" s="5">
        <v>44146.0</v>
      </c>
    </row>
    <row r="579">
      <c r="A579" s="1">
        <v>405023.0</v>
      </c>
      <c r="B579" s="1">
        <v>0.0</v>
      </c>
      <c r="C579" s="1" t="s">
        <v>8178</v>
      </c>
      <c r="D579" s="1" t="s">
        <v>5081</v>
      </c>
      <c r="F579" s="1" t="s">
        <v>8280</v>
      </c>
      <c r="G579" s="1" t="s">
        <v>26</v>
      </c>
      <c r="H579" s="1" t="s">
        <v>5102</v>
      </c>
      <c r="I579" s="1" t="s">
        <v>18</v>
      </c>
      <c r="J579" s="1" t="s">
        <v>5071</v>
      </c>
      <c r="K579" s="6" t="s">
        <v>8281</v>
      </c>
      <c r="L579" s="6" t="s">
        <v>8282</v>
      </c>
      <c r="M579" s="1" t="s">
        <v>8283</v>
      </c>
      <c r="O579" s="5">
        <v>44146.0</v>
      </c>
      <c r="P579" s="5">
        <v>44130.0</v>
      </c>
      <c r="R579" s="1" t="b">
        <v>0</v>
      </c>
      <c r="T579" s="1">
        <v>5.0</v>
      </c>
      <c r="U579" s="1" t="b">
        <v>1</v>
      </c>
      <c r="V579" s="1" t="s">
        <v>5644</v>
      </c>
      <c r="W579" s="1" t="s">
        <v>8277</v>
      </c>
      <c r="X579" s="1">
        <v>200.0</v>
      </c>
      <c r="Z579" s="1" t="s">
        <v>5203</v>
      </c>
      <c r="AA579" s="1" t="s">
        <v>8273</v>
      </c>
      <c r="AE579" s="6" t="s">
        <v>8284</v>
      </c>
      <c r="AF579" s="6" t="s">
        <v>8279</v>
      </c>
      <c r="AG579" s="5">
        <v>44146.0</v>
      </c>
    </row>
    <row r="580">
      <c r="A580" s="1">
        <v>405024.0</v>
      </c>
      <c r="B580" s="1">
        <v>0.0</v>
      </c>
      <c r="C580" s="1" t="s">
        <v>8144</v>
      </c>
      <c r="D580" s="1" t="s">
        <v>5068</v>
      </c>
      <c r="F580" s="1" t="s">
        <v>8285</v>
      </c>
      <c r="G580" s="1" t="s">
        <v>26</v>
      </c>
      <c r="H580" s="1" t="s">
        <v>5102</v>
      </c>
      <c r="I580" s="1" t="s">
        <v>18</v>
      </c>
      <c r="J580" s="1" t="s">
        <v>5071</v>
      </c>
      <c r="K580" s="6" t="s">
        <v>8286</v>
      </c>
      <c r="L580" s="6" t="s">
        <v>8287</v>
      </c>
      <c r="M580" s="1" t="s">
        <v>8288</v>
      </c>
      <c r="O580" s="5">
        <v>44146.0</v>
      </c>
      <c r="P580" s="5">
        <v>44130.0</v>
      </c>
      <c r="R580" s="1" t="b">
        <v>0</v>
      </c>
      <c r="T580" s="1">
        <v>5.0</v>
      </c>
      <c r="U580" s="1" t="b">
        <v>1</v>
      </c>
      <c r="V580" s="1" t="s">
        <v>5644</v>
      </c>
      <c r="W580" s="1" t="s">
        <v>8289</v>
      </c>
      <c r="X580" s="1">
        <v>200.0</v>
      </c>
      <c r="Y580" s="1" t="s">
        <v>5075</v>
      </c>
      <c r="Z580" s="1" t="s">
        <v>5203</v>
      </c>
      <c r="AE580" s="6" t="s">
        <v>8290</v>
      </c>
      <c r="AF580" s="6" t="s">
        <v>8279</v>
      </c>
      <c r="AG580" s="5">
        <v>44146.0</v>
      </c>
    </row>
    <row r="581">
      <c r="A581" s="1">
        <v>405025.0</v>
      </c>
      <c r="B581" s="1">
        <v>0.0</v>
      </c>
      <c r="C581" s="1" t="s">
        <v>8150</v>
      </c>
      <c r="D581" s="1" t="s">
        <v>5081</v>
      </c>
      <c r="F581" s="1" t="s">
        <v>8291</v>
      </c>
      <c r="G581" s="1" t="s">
        <v>26</v>
      </c>
      <c r="H581" s="1" t="s">
        <v>5102</v>
      </c>
      <c r="I581" s="1" t="s">
        <v>18</v>
      </c>
      <c r="J581" s="1" t="s">
        <v>5071</v>
      </c>
      <c r="K581" s="6" t="s">
        <v>8292</v>
      </c>
      <c r="L581" s="6" t="s">
        <v>8293</v>
      </c>
      <c r="M581" s="1" t="s">
        <v>8294</v>
      </c>
      <c r="O581" s="5">
        <v>44146.0</v>
      </c>
      <c r="P581" s="5">
        <v>44130.0</v>
      </c>
      <c r="R581" s="1" t="b">
        <v>0</v>
      </c>
      <c r="T581" s="1">
        <v>5.0</v>
      </c>
      <c r="U581" s="1" t="b">
        <v>1</v>
      </c>
      <c r="V581" s="1" t="s">
        <v>5644</v>
      </c>
      <c r="W581" s="1" t="s">
        <v>8289</v>
      </c>
      <c r="X581" s="1">
        <v>200.0</v>
      </c>
      <c r="Z581" s="1" t="s">
        <v>5203</v>
      </c>
      <c r="AA581" s="1" t="s">
        <v>8285</v>
      </c>
      <c r="AE581" s="6" t="s">
        <v>8295</v>
      </c>
      <c r="AF581" s="6" t="s">
        <v>8279</v>
      </c>
      <c r="AG581" s="5">
        <v>44146.0</v>
      </c>
    </row>
    <row r="582">
      <c r="A582" s="1">
        <v>405085.0</v>
      </c>
      <c r="B582" s="1">
        <v>0.0</v>
      </c>
      <c r="C582" s="1" t="s">
        <v>8296</v>
      </c>
      <c r="D582" s="1" t="s">
        <v>5068</v>
      </c>
      <c r="F582" s="1" t="s">
        <v>8297</v>
      </c>
      <c r="G582" s="1" t="s">
        <v>26</v>
      </c>
      <c r="H582" s="1" t="s">
        <v>5102</v>
      </c>
      <c r="I582" s="1" t="s">
        <v>18</v>
      </c>
      <c r="J582" s="1" t="s">
        <v>5071</v>
      </c>
      <c r="K582" s="6" t="s">
        <v>8298</v>
      </c>
      <c r="L582" s="6" t="s">
        <v>8299</v>
      </c>
      <c r="M582" s="1" t="s">
        <v>8300</v>
      </c>
      <c r="O582" s="5">
        <v>44146.0</v>
      </c>
      <c r="P582" s="5">
        <v>44166.0</v>
      </c>
      <c r="R582" s="1" t="b">
        <v>0</v>
      </c>
      <c r="T582" s="1">
        <v>5.0</v>
      </c>
      <c r="U582" s="1" t="b">
        <v>1</v>
      </c>
      <c r="V582" s="1" t="s">
        <v>7146</v>
      </c>
      <c r="W582" s="1" t="s">
        <v>8301</v>
      </c>
      <c r="X582" s="1">
        <v>200.0</v>
      </c>
      <c r="Y582" s="1" t="s">
        <v>5075</v>
      </c>
      <c r="Z582" s="1" t="s">
        <v>5203</v>
      </c>
      <c r="AB582" s="1" t="s">
        <v>8302</v>
      </c>
      <c r="AE582" s="6" t="s">
        <v>8303</v>
      </c>
      <c r="AF582" s="6" t="s">
        <v>8279</v>
      </c>
      <c r="AG582" s="5">
        <v>44147.0</v>
      </c>
    </row>
    <row r="583">
      <c r="A583" s="1">
        <v>405086.0</v>
      </c>
      <c r="B583" s="1">
        <v>0.0</v>
      </c>
      <c r="C583" s="1" t="s">
        <v>8304</v>
      </c>
      <c r="D583" s="1" t="s">
        <v>5081</v>
      </c>
      <c r="F583" s="1" t="s">
        <v>8305</v>
      </c>
      <c r="G583" s="1" t="s">
        <v>26</v>
      </c>
      <c r="H583" s="1" t="s">
        <v>5102</v>
      </c>
      <c r="I583" s="1" t="s">
        <v>18</v>
      </c>
      <c r="J583" s="1" t="s">
        <v>5071</v>
      </c>
      <c r="K583" s="6" t="s">
        <v>8306</v>
      </c>
      <c r="L583" s="6" t="s">
        <v>8307</v>
      </c>
      <c r="M583" s="1" t="s">
        <v>8308</v>
      </c>
      <c r="O583" s="5">
        <v>44146.0</v>
      </c>
      <c r="P583" s="5">
        <v>44166.0</v>
      </c>
      <c r="R583" s="1" t="b">
        <v>0</v>
      </c>
      <c r="T583" s="1">
        <v>5.0</v>
      </c>
      <c r="U583" s="1" t="b">
        <v>1</v>
      </c>
      <c r="V583" s="1" t="s">
        <v>7146</v>
      </c>
      <c r="W583" s="1" t="s">
        <v>8301</v>
      </c>
      <c r="X583" s="1">
        <v>200.0</v>
      </c>
      <c r="Z583" s="1" t="s">
        <v>5203</v>
      </c>
      <c r="AA583" s="1" t="s">
        <v>8297</v>
      </c>
      <c r="AB583" s="1" t="s">
        <v>8309</v>
      </c>
      <c r="AC583" s="1" t="s">
        <v>5077</v>
      </c>
      <c r="AD583" s="1" t="s">
        <v>5093</v>
      </c>
      <c r="AE583" s="6" t="s">
        <v>8310</v>
      </c>
      <c r="AF583" s="6" t="s">
        <v>8279</v>
      </c>
      <c r="AG583" s="5">
        <v>44147.0</v>
      </c>
      <c r="AH583" s="1">
        <v>278950.0</v>
      </c>
    </row>
    <row r="584">
      <c r="A584" s="1">
        <v>407701.0</v>
      </c>
      <c r="B584" s="1">
        <v>1.0</v>
      </c>
      <c r="C584" s="1" t="s">
        <v>8311</v>
      </c>
      <c r="D584" s="1" t="s">
        <v>5068</v>
      </c>
      <c r="F584" s="1" t="s">
        <v>8312</v>
      </c>
      <c r="G584" s="1" t="s">
        <v>26</v>
      </c>
      <c r="H584" s="1" t="s">
        <v>5102</v>
      </c>
      <c r="I584" s="1" t="s">
        <v>18</v>
      </c>
      <c r="J584" s="1" t="s">
        <v>70</v>
      </c>
      <c r="K584" s="6" t="s">
        <v>8313</v>
      </c>
      <c r="L584" s="6" t="s">
        <v>8314</v>
      </c>
      <c r="M584" s="1" t="s">
        <v>8315</v>
      </c>
      <c r="O584" s="5">
        <v>44177.0</v>
      </c>
      <c r="P584" s="5">
        <v>44160.0</v>
      </c>
      <c r="R584" s="1" t="b">
        <v>0</v>
      </c>
      <c r="T584" s="1">
        <v>27.0</v>
      </c>
      <c r="U584" s="1" t="b">
        <v>1</v>
      </c>
      <c r="V584" s="1" t="s">
        <v>6802</v>
      </c>
      <c r="W584" s="1" t="s">
        <v>8316</v>
      </c>
      <c r="X584" s="1">
        <v>200.0</v>
      </c>
      <c r="Y584" s="1" t="s">
        <v>5075</v>
      </c>
      <c r="Z584" s="1" t="s">
        <v>3832</v>
      </c>
      <c r="AB584" s="1" t="s">
        <v>8317</v>
      </c>
      <c r="AC584" s="1" t="s">
        <v>5077</v>
      </c>
      <c r="AD584" s="1" t="s">
        <v>5093</v>
      </c>
      <c r="AE584" s="6" t="s">
        <v>8318</v>
      </c>
      <c r="AG584" s="5">
        <v>44167.0</v>
      </c>
      <c r="AH584" s="1">
        <v>280894.0</v>
      </c>
    </row>
    <row r="585">
      <c r="A585" s="1">
        <v>410147.0</v>
      </c>
      <c r="B585" s="1">
        <v>0.0</v>
      </c>
      <c r="C585" s="1" t="s">
        <v>760</v>
      </c>
      <c r="D585" s="1" t="s">
        <v>5068</v>
      </c>
      <c r="E585" s="5">
        <v>44895.0</v>
      </c>
      <c r="F585" s="1" t="s">
        <v>761</v>
      </c>
      <c r="G585" s="1" t="s">
        <v>5122</v>
      </c>
      <c r="H585" s="1" t="s">
        <v>5102</v>
      </c>
      <c r="I585" s="1" t="s">
        <v>52</v>
      </c>
      <c r="J585" s="1" t="s">
        <v>21</v>
      </c>
      <c r="K585" s="6" t="s">
        <v>8319</v>
      </c>
      <c r="L585" s="6" t="s">
        <v>8320</v>
      </c>
      <c r="M585" s="1" t="s">
        <v>8321</v>
      </c>
      <c r="O585" s="5">
        <v>44174.0</v>
      </c>
      <c r="R585" s="1" t="b">
        <v>0</v>
      </c>
      <c r="U585" s="1" t="b">
        <v>1</v>
      </c>
      <c r="V585" s="1" t="s">
        <v>5153</v>
      </c>
      <c r="W585" s="1" t="s">
        <v>8322</v>
      </c>
      <c r="X585" s="1">
        <v>200.0</v>
      </c>
      <c r="Y585" s="1" t="s">
        <v>5075</v>
      </c>
      <c r="AB585" s="1" t="s">
        <v>8323</v>
      </c>
      <c r="AC585" s="1" t="s">
        <v>5077</v>
      </c>
      <c r="AD585" s="1" t="s">
        <v>5078</v>
      </c>
      <c r="AE585" s="6" t="s">
        <v>8324</v>
      </c>
      <c r="AG585" s="5">
        <v>44190.0</v>
      </c>
      <c r="AH585" s="1">
        <v>337334.0</v>
      </c>
    </row>
    <row r="586">
      <c r="A586" s="1">
        <v>411601.0</v>
      </c>
      <c r="B586" s="1">
        <v>0.0</v>
      </c>
      <c r="C586" s="1" t="s">
        <v>7704</v>
      </c>
      <c r="D586" s="1" t="s">
        <v>5068</v>
      </c>
      <c r="F586" s="1" t="s">
        <v>8325</v>
      </c>
      <c r="G586" s="1" t="s">
        <v>7706</v>
      </c>
      <c r="H586" s="1" t="s">
        <v>5116</v>
      </c>
      <c r="I586" s="1" t="s">
        <v>18</v>
      </c>
      <c r="J586" s="1" t="s">
        <v>5071</v>
      </c>
      <c r="K586" s="6" t="s">
        <v>8326</v>
      </c>
      <c r="L586" s="6" t="s">
        <v>8327</v>
      </c>
      <c r="M586" s="1" t="s">
        <v>8328</v>
      </c>
      <c r="O586" s="5">
        <v>44106.0</v>
      </c>
      <c r="R586" s="1" t="b">
        <v>0</v>
      </c>
      <c r="U586" s="1" t="b">
        <v>1</v>
      </c>
      <c r="V586" s="1" t="s">
        <v>5132</v>
      </c>
      <c r="W586" s="1" t="s">
        <v>8329</v>
      </c>
      <c r="X586" s="1">
        <v>200.0</v>
      </c>
      <c r="Y586" s="1" t="s">
        <v>5075</v>
      </c>
      <c r="AB586" s="1" t="s">
        <v>7731</v>
      </c>
      <c r="AG586" s="5">
        <v>44202.0</v>
      </c>
    </row>
    <row r="587">
      <c r="A587" s="1">
        <v>411602.0</v>
      </c>
      <c r="B587" s="1">
        <v>0.0</v>
      </c>
      <c r="C587" s="1" t="s">
        <v>8330</v>
      </c>
      <c r="D587" s="1" t="s">
        <v>5081</v>
      </c>
      <c r="F587" s="1" t="s">
        <v>8331</v>
      </c>
      <c r="G587" s="1" t="s">
        <v>7706</v>
      </c>
      <c r="H587" s="1" t="s">
        <v>5116</v>
      </c>
      <c r="I587" s="1" t="s">
        <v>18</v>
      </c>
      <c r="J587" s="1" t="s">
        <v>5071</v>
      </c>
      <c r="K587" s="6" t="s">
        <v>8332</v>
      </c>
      <c r="L587" s="6" t="s">
        <v>8333</v>
      </c>
      <c r="M587" s="1" t="s">
        <v>8334</v>
      </c>
      <c r="O587" s="5">
        <v>44106.0</v>
      </c>
      <c r="R587" s="1" t="b">
        <v>0</v>
      </c>
      <c r="U587" s="1" t="b">
        <v>1</v>
      </c>
      <c r="V587" s="1" t="s">
        <v>5132</v>
      </c>
      <c r="W587" s="1" t="s">
        <v>8329</v>
      </c>
      <c r="X587" s="1">
        <v>200.0</v>
      </c>
      <c r="AA587" s="1" t="s">
        <v>8325</v>
      </c>
      <c r="AB587" s="6" t="s">
        <v>7736</v>
      </c>
      <c r="AG587" s="5">
        <v>44202.0</v>
      </c>
    </row>
    <row r="588">
      <c r="A588" s="1">
        <v>414712.0</v>
      </c>
      <c r="B588" s="1">
        <v>0.0</v>
      </c>
      <c r="C588" s="1" t="s">
        <v>8335</v>
      </c>
      <c r="D588" s="1" t="s">
        <v>5068</v>
      </c>
      <c r="F588" s="1" t="s">
        <v>8336</v>
      </c>
      <c r="G588" s="1" t="s">
        <v>5368</v>
      </c>
      <c r="H588" s="1" t="s">
        <v>5102</v>
      </c>
      <c r="I588" s="1" t="s">
        <v>516</v>
      </c>
      <c r="J588" s="1" t="s">
        <v>70</v>
      </c>
      <c r="K588" s="6" t="s">
        <v>8337</v>
      </c>
      <c r="L588" s="6" t="s">
        <v>8338</v>
      </c>
      <c r="M588" s="1" t="s">
        <v>8339</v>
      </c>
      <c r="O588" s="5">
        <v>44215.0</v>
      </c>
      <c r="R588" s="1" t="b">
        <v>1</v>
      </c>
      <c r="U588" s="1" t="b">
        <v>0</v>
      </c>
      <c r="V588" s="1" t="s">
        <v>6982</v>
      </c>
      <c r="X588" s="1">
        <v>200.0</v>
      </c>
      <c r="AG588" s="5">
        <v>44222.0</v>
      </c>
    </row>
    <row r="589">
      <c r="A589" s="1">
        <v>415595.0</v>
      </c>
      <c r="B589" s="1">
        <v>0.0</v>
      </c>
      <c r="C589" s="1" t="s">
        <v>369</v>
      </c>
      <c r="D589" s="1" t="s">
        <v>5068</v>
      </c>
      <c r="F589" s="1" t="s">
        <v>8340</v>
      </c>
      <c r="G589" s="1" t="s">
        <v>26</v>
      </c>
      <c r="H589" s="1" t="s">
        <v>5102</v>
      </c>
      <c r="I589" s="1" t="s">
        <v>516</v>
      </c>
      <c r="J589" s="1" t="s">
        <v>5071</v>
      </c>
      <c r="K589" s="6" t="s">
        <v>8341</v>
      </c>
      <c r="L589" s="6" t="s">
        <v>8342</v>
      </c>
      <c r="M589" s="1" t="s">
        <v>8343</v>
      </c>
      <c r="O589" s="5">
        <v>44184.0</v>
      </c>
      <c r="R589" s="1" t="b">
        <v>1</v>
      </c>
      <c r="U589" s="1" t="b">
        <v>0</v>
      </c>
      <c r="V589" s="1" t="s">
        <v>6982</v>
      </c>
      <c r="X589" s="1">
        <v>200.0</v>
      </c>
      <c r="AE589" s="6" t="s">
        <v>8344</v>
      </c>
      <c r="AG589" s="5">
        <v>44229.0</v>
      </c>
    </row>
    <row r="590">
      <c r="A590" s="1">
        <v>415596.0</v>
      </c>
      <c r="B590" s="1">
        <v>0.0</v>
      </c>
      <c r="C590" s="1" t="s">
        <v>8345</v>
      </c>
      <c r="D590" s="1" t="s">
        <v>5081</v>
      </c>
      <c r="F590" s="1" t="s">
        <v>8346</v>
      </c>
      <c r="G590" s="1" t="s">
        <v>26</v>
      </c>
      <c r="H590" s="1" t="s">
        <v>5102</v>
      </c>
      <c r="I590" s="1" t="s">
        <v>516</v>
      </c>
      <c r="J590" s="1" t="s">
        <v>5071</v>
      </c>
      <c r="K590" s="6" t="s">
        <v>8347</v>
      </c>
      <c r="L590" s="6" t="s">
        <v>8348</v>
      </c>
      <c r="M590" s="1" t="s">
        <v>8349</v>
      </c>
      <c r="O590" s="5">
        <v>44184.0</v>
      </c>
      <c r="R590" s="1" t="b">
        <v>1</v>
      </c>
      <c r="U590" s="1" t="b">
        <v>0</v>
      </c>
      <c r="V590" s="1" t="s">
        <v>6982</v>
      </c>
      <c r="X590" s="1">
        <v>200.0</v>
      </c>
      <c r="AA590" s="1" t="s">
        <v>8340</v>
      </c>
      <c r="AE590" s="6" t="s">
        <v>8344</v>
      </c>
      <c r="AG590" s="5">
        <v>44229.0</v>
      </c>
    </row>
    <row r="591">
      <c r="A591" s="1">
        <v>417571.0</v>
      </c>
      <c r="B591" s="1">
        <v>0.0</v>
      </c>
      <c r="C591" s="1" t="s">
        <v>8350</v>
      </c>
      <c r="D591" s="1" t="s">
        <v>5068</v>
      </c>
      <c r="F591" s="1" t="s">
        <v>8351</v>
      </c>
      <c r="G591" s="1" t="s">
        <v>26</v>
      </c>
      <c r="H591" s="1" t="s">
        <v>5419</v>
      </c>
      <c r="I591" s="1" t="s">
        <v>18</v>
      </c>
      <c r="J591" s="1" t="s">
        <v>21</v>
      </c>
      <c r="K591" s="6" t="s">
        <v>8352</v>
      </c>
      <c r="L591" s="6" t="s">
        <v>8353</v>
      </c>
      <c r="M591" s="1" t="s">
        <v>8354</v>
      </c>
      <c r="O591" s="5">
        <v>44166.0</v>
      </c>
      <c r="R591" s="1" t="b">
        <v>0</v>
      </c>
      <c r="U591" s="1" t="b">
        <v>0</v>
      </c>
      <c r="V591" s="1" t="s">
        <v>8355</v>
      </c>
      <c r="W591" s="1" t="s">
        <v>8356</v>
      </c>
      <c r="X591" s="1">
        <v>200.0</v>
      </c>
      <c r="AE591" s="6" t="s">
        <v>8357</v>
      </c>
      <c r="AG591" s="5">
        <v>44249.0</v>
      </c>
    </row>
    <row r="592">
      <c r="A592" s="1">
        <v>418791.0</v>
      </c>
      <c r="B592" s="1">
        <v>0.0</v>
      </c>
      <c r="C592" s="1" t="s">
        <v>8358</v>
      </c>
      <c r="D592" s="1" t="s">
        <v>5068</v>
      </c>
      <c r="F592" s="1" t="s">
        <v>8359</v>
      </c>
      <c r="G592" s="1" t="s">
        <v>26</v>
      </c>
      <c r="H592" s="1" t="s">
        <v>5102</v>
      </c>
      <c r="I592" s="1" t="s">
        <v>516</v>
      </c>
      <c r="J592" s="1" t="s">
        <v>14</v>
      </c>
      <c r="K592" s="6" t="s">
        <v>8360</v>
      </c>
      <c r="L592" s="6" t="s">
        <v>8361</v>
      </c>
      <c r="M592" s="1" t="s">
        <v>8362</v>
      </c>
      <c r="O592" s="5">
        <v>44256.0</v>
      </c>
      <c r="R592" s="1" t="b">
        <v>1</v>
      </c>
      <c r="U592" s="1" t="b">
        <v>0</v>
      </c>
      <c r="V592" s="1" t="s">
        <v>6982</v>
      </c>
      <c r="X592" s="1">
        <v>200.0</v>
      </c>
      <c r="AG592" s="5">
        <v>44257.0</v>
      </c>
    </row>
    <row r="593">
      <c r="A593" s="1">
        <v>420059.0</v>
      </c>
      <c r="B593" s="1">
        <v>0.0</v>
      </c>
      <c r="C593" s="1" t="s">
        <v>136</v>
      </c>
      <c r="D593" s="1" t="s">
        <v>5068</v>
      </c>
      <c r="E593" s="5">
        <v>44853.0</v>
      </c>
      <c r="F593" s="1" t="s">
        <v>137</v>
      </c>
      <c r="G593" s="1" t="s">
        <v>26</v>
      </c>
      <c r="H593" s="1" t="s">
        <v>5419</v>
      </c>
      <c r="I593" s="1" t="s">
        <v>18</v>
      </c>
      <c r="J593" s="1" t="s">
        <v>21</v>
      </c>
      <c r="K593" s="6" t="s">
        <v>8363</v>
      </c>
      <c r="L593" s="6" t="s">
        <v>8364</v>
      </c>
      <c r="M593" s="1" t="s">
        <v>8365</v>
      </c>
      <c r="O593" s="5">
        <v>44259.0</v>
      </c>
      <c r="P593" s="5">
        <v>44259.0</v>
      </c>
      <c r="R593" s="1" t="b">
        <v>0</v>
      </c>
      <c r="U593" s="1" t="b">
        <v>1</v>
      </c>
      <c r="V593" s="1" t="s">
        <v>8366</v>
      </c>
      <c r="W593" s="1" t="s">
        <v>8367</v>
      </c>
      <c r="X593" s="1">
        <v>200.0</v>
      </c>
      <c r="Y593" s="1" t="s">
        <v>5142</v>
      </c>
      <c r="AB593" s="1" t="s">
        <v>7131</v>
      </c>
      <c r="AC593" s="1" t="s">
        <v>5077</v>
      </c>
      <c r="AD593" s="1" t="s">
        <v>5078</v>
      </c>
      <c r="AE593" s="6" t="s">
        <v>8368</v>
      </c>
      <c r="AG593" s="5">
        <v>44264.0</v>
      </c>
      <c r="AH593" s="1">
        <v>366853.0</v>
      </c>
    </row>
    <row r="594">
      <c r="A594" s="1">
        <v>420260.0</v>
      </c>
      <c r="B594" s="1">
        <v>1.0</v>
      </c>
      <c r="C594" s="1" t="s">
        <v>262</v>
      </c>
      <c r="D594" s="1" t="s">
        <v>5068</v>
      </c>
      <c r="E594" s="5">
        <v>44803.0</v>
      </c>
      <c r="F594" s="1" t="s">
        <v>263</v>
      </c>
      <c r="G594" s="1" t="s">
        <v>26</v>
      </c>
      <c r="H594" s="1" t="s">
        <v>5102</v>
      </c>
      <c r="I594" s="1" t="s">
        <v>18</v>
      </c>
      <c r="J594" s="1" t="s">
        <v>24</v>
      </c>
      <c r="K594" s="6" t="s">
        <v>8369</v>
      </c>
      <c r="L594" s="6" t="s">
        <v>8370</v>
      </c>
      <c r="M594" s="1" t="s">
        <v>8371</v>
      </c>
      <c r="O594" s="5">
        <v>44257.0</v>
      </c>
      <c r="P594" s="5">
        <v>44259.0</v>
      </c>
      <c r="R594" s="1" t="b">
        <v>0</v>
      </c>
      <c r="T594" s="1">
        <v>401.0</v>
      </c>
      <c r="U594" s="1" t="b">
        <v>1</v>
      </c>
      <c r="V594" s="1" t="s">
        <v>8372</v>
      </c>
      <c r="W594" s="1" t="s">
        <v>8373</v>
      </c>
      <c r="X594" s="1">
        <v>408.0</v>
      </c>
      <c r="Y594" s="1" t="s">
        <v>5142</v>
      </c>
      <c r="Z594" s="1" t="s">
        <v>5162</v>
      </c>
      <c r="AC594" s="1" t="s">
        <v>5077</v>
      </c>
      <c r="AD594" s="1" t="s">
        <v>5093</v>
      </c>
      <c r="AE594" s="6" t="s">
        <v>8374</v>
      </c>
      <c r="AF594" s="6" t="s">
        <v>8375</v>
      </c>
      <c r="AG594" s="5">
        <v>44265.0</v>
      </c>
      <c r="AH594" s="1">
        <v>289648.0</v>
      </c>
    </row>
    <row r="595">
      <c r="A595" s="1">
        <v>420261.0</v>
      </c>
      <c r="B595" s="1">
        <v>0.0</v>
      </c>
      <c r="C595" s="1" t="s">
        <v>8376</v>
      </c>
      <c r="D595" s="1" t="s">
        <v>5068</v>
      </c>
      <c r="F595" s="1" t="s">
        <v>8377</v>
      </c>
      <c r="G595" s="1" t="s">
        <v>26</v>
      </c>
      <c r="H595" s="1" t="s">
        <v>5102</v>
      </c>
      <c r="I595" s="1" t="s">
        <v>18</v>
      </c>
      <c r="J595" s="1" t="s">
        <v>24</v>
      </c>
      <c r="K595" s="6" t="s">
        <v>8378</v>
      </c>
      <c r="L595" s="6" t="s">
        <v>8379</v>
      </c>
      <c r="M595" s="1" t="s">
        <v>8380</v>
      </c>
      <c r="O595" s="5">
        <v>44257.0</v>
      </c>
      <c r="P595" s="5">
        <v>44348.0</v>
      </c>
      <c r="R595" s="1" t="b">
        <v>0</v>
      </c>
      <c r="T595" s="1">
        <v>401.0</v>
      </c>
      <c r="U595" s="1" t="b">
        <v>1</v>
      </c>
      <c r="V595" s="1" t="s">
        <v>5663</v>
      </c>
      <c r="W595" s="1" t="s">
        <v>8381</v>
      </c>
      <c r="X595" s="1">
        <v>200.0</v>
      </c>
      <c r="Y595" s="1" t="s">
        <v>5142</v>
      </c>
      <c r="Z595" s="1" t="s">
        <v>5162</v>
      </c>
      <c r="AC595" s="1" t="s">
        <v>5077</v>
      </c>
      <c r="AD595" s="1" t="s">
        <v>5078</v>
      </c>
      <c r="AE595" s="6" t="s">
        <v>8382</v>
      </c>
      <c r="AF595" s="6" t="s">
        <v>8375</v>
      </c>
      <c r="AG595" s="5">
        <v>44265.0</v>
      </c>
      <c r="AH595" s="1">
        <v>289649.0</v>
      </c>
    </row>
    <row r="596">
      <c r="A596" s="1">
        <v>423579.0</v>
      </c>
      <c r="B596" s="1">
        <v>0.0</v>
      </c>
      <c r="C596" s="1" t="s">
        <v>8383</v>
      </c>
      <c r="D596" s="1" t="s">
        <v>5068</v>
      </c>
      <c r="F596" s="1" t="s">
        <v>8384</v>
      </c>
      <c r="G596" s="1" t="s">
        <v>5122</v>
      </c>
      <c r="H596" s="1" t="s">
        <v>5116</v>
      </c>
      <c r="I596" s="1" t="s">
        <v>18</v>
      </c>
      <c r="J596" s="1" t="s">
        <v>5071</v>
      </c>
      <c r="K596" s="6" t="s">
        <v>8385</v>
      </c>
      <c r="L596" s="6" t="s">
        <v>8386</v>
      </c>
      <c r="M596" s="1" t="s">
        <v>8387</v>
      </c>
      <c r="O596" s="5">
        <v>44263.0</v>
      </c>
      <c r="R596" s="1" t="b">
        <v>0</v>
      </c>
      <c r="U596" s="1" t="b">
        <v>1</v>
      </c>
      <c r="V596" s="1" t="s">
        <v>5699</v>
      </c>
      <c r="W596" s="1" t="s">
        <v>8388</v>
      </c>
      <c r="X596" s="1">
        <v>200.0</v>
      </c>
      <c r="Y596" s="1" t="s">
        <v>5075</v>
      </c>
      <c r="AB596" s="1" t="s">
        <v>5869</v>
      </c>
      <c r="AG596" s="5">
        <v>44292.0</v>
      </c>
    </row>
    <row r="597">
      <c r="A597" s="1">
        <v>423580.0</v>
      </c>
      <c r="B597" s="1">
        <v>0.0</v>
      </c>
      <c r="C597" s="1" t="s">
        <v>8389</v>
      </c>
      <c r="D597" s="1" t="s">
        <v>5081</v>
      </c>
      <c r="F597" s="1" t="s">
        <v>8390</v>
      </c>
      <c r="G597" s="1" t="s">
        <v>5122</v>
      </c>
      <c r="H597" s="1" t="s">
        <v>5116</v>
      </c>
      <c r="I597" s="1" t="s">
        <v>18</v>
      </c>
      <c r="J597" s="1" t="s">
        <v>5071</v>
      </c>
      <c r="K597" s="6" t="s">
        <v>8391</v>
      </c>
      <c r="L597" s="6" t="s">
        <v>8392</v>
      </c>
      <c r="M597" s="1" t="s">
        <v>8393</v>
      </c>
      <c r="O597" s="5">
        <v>44263.0</v>
      </c>
      <c r="R597" s="1" t="b">
        <v>0</v>
      </c>
      <c r="U597" s="1" t="b">
        <v>1</v>
      </c>
      <c r="V597" s="1" t="s">
        <v>5699</v>
      </c>
      <c r="W597" s="1" t="s">
        <v>8388</v>
      </c>
      <c r="X597" s="1">
        <v>200.0</v>
      </c>
      <c r="AA597" s="1" t="s">
        <v>8384</v>
      </c>
      <c r="AB597" s="1" t="s">
        <v>5875</v>
      </c>
      <c r="AG597" s="5">
        <v>44292.0</v>
      </c>
    </row>
    <row r="598">
      <c r="A598" s="1">
        <v>429173.0</v>
      </c>
      <c r="B598" s="1">
        <v>0.0</v>
      </c>
      <c r="C598" s="1" t="s">
        <v>7719</v>
      </c>
      <c r="D598" s="1" t="s">
        <v>5068</v>
      </c>
      <c r="E598" s="5">
        <v>44197.0</v>
      </c>
      <c r="F598" s="1" t="s">
        <v>8394</v>
      </c>
      <c r="G598" s="1" t="s">
        <v>7690</v>
      </c>
      <c r="H598" s="1" t="s">
        <v>5116</v>
      </c>
      <c r="I598" s="1" t="s">
        <v>18</v>
      </c>
      <c r="J598" s="1" t="s">
        <v>5071</v>
      </c>
      <c r="K598" s="6" t="s">
        <v>8395</v>
      </c>
      <c r="L598" s="6" t="s">
        <v>8396</v>
      </c>
      <c r="M598" s="1" t="s">
        <v>7723</v>
      </c>
      <c r="O598" s="5">
        <v>44105.0</v>
      </c>
      <c r="P598" s="5">
        <v>44105.0</v>
      </c>
      <c r="R598" s="1" t="b">
        <v>0</v>
      </c>
      <c r="U598" s="1" t="b">
        <v>1</v>
      </c>
      <c r="V598" s="1" t="s">
        <v>5132</v>
      </c>
      <c r="W598" s="1" t="s">
        <v>8329</v>
      </c>
      <c r="X598" s="1">
        <v>200.0</v>
      </c>
      <c r="Y598" s="1" t="s">
        <v>5075</v>
      </c>
      <c r="AB598" s="1" t="s">
        <v>7720</v>
      </c>
      <c r="AE598" s="6" t="s">
        <v>8397</v>
      </c>
      <c r="AG598" s="5">
        <v>44329.0</v>
      </c>
    </row>
    <row r="599">
      <c r="A599" s="1">
        <v>429174.0</v>
      </c>
      <c r="B599" s="1">
        <v>0.0</v>
      </c>
      <c r="C599" s="1" t="s">
        <v>7725</v>
      </c>
      <c r="D599" s="1" t="s">
        <v>5081</v>
      </c>
      <c r="E599" s="5">
        <v>44197.0</v>
      </c>
      <c r="F599" s="1" t="s">
        <v>8398</v>
      </c>
      <c r="G599" s="1" t="s">
        <v>7690</v>
      </c>
      <c r="H599" s="1" t="s">
        <v>5116</v>
      </c>
      <c r="I599" s="1" t="s">
        <v>18</v>
      </c>
      <c r="J599" s="1" t="s">
        <v>5071</v>
      </c>
      <c r="K599" s="6" t="s">
        <v>8399</v>
      </c>
      <c r="L599" s="6" t="s">
        <v>8400</v>
      </c>
      <c r="M599" s="1" t="s">
        <v>8401</v>
      </c>
      <c r="O599" s="5">
        <v>44105.0</v>
      </c>
      <c r="P599" s="5">
        <v>44105.0</v>
      </c>
      <c r="R599" s="1" t="b">
        <v>0</v>
      </c>
      <c r="U599" s="1" t="b">
        <v>1</v>
      </c>
      <c r="V599" s="1" t="s">
        <v>5132</v>
      </c>
      <c r="W599" s="1" t="s">
        <v>8329</v>
      </c>
      <c r="X599" s="1">
        <v>200.0</v>
      </c>
      <c r="AA599" s="1" t="s">
        <v>8394</v>
      </c>
      <c r="AB599" s="1" t="s">
        <v>7726</v>
      </c>
      <c r="AE599" s="6" t="s">
        <v>8402</v>
      </c>
      <c r="AG599" s="5">
        <v>44329.0</v>
      </c>
    </row>
    <row r="600">
      <c r="A600" s="1">
        <v>430339.0</v>
      </c>
      <c r="B600" s="1">
        <v>0.0</v>
      </c>
      <c r="C600" s="1" t="s">
        <v>8403</v>
      </c>
      <c r="D600" s="1" t="s">
        <v>5068</v>
      </c>
      <c r="F600" s="1" t="s">
        <v>8404</v>
      </c>
      <c r="G600" s="1" t="s">
        <v>5122</v>
      </c>
      <c r="H600" s="1" t="s">
        <v>5102</v>
      </c>
      <c r="I600" s="1" t="s">
        <v>516</v>
      </c>
      <c r="J600" s="1" t="s">
        <v>202</v>
      </c>
      <c r="K600" s="6" t="s">
        <v>8405</v>
      </c>
      <c r="L600" s="6" t="s">
        <v>8406</v>
      </c>
      <c r="M600" s="1" t="s">
        <v>8407</v>
      </c>
      <c r="O600" s="5">
        <v>44328.0</v>
      </c>
      <c r="R600" s="1" t="b">
        <v>1</v>
      </c>
      <c r="U600" s="1" t="b">
        <v>0</v>
      </c>
      <c r="V600" s="1" t="s">
        <v>6982</v>
      </c>
      <c r="X600" s="1">
        <v>200.0</v>
      </c>
      <c r="AG600" s="5">
        <v>44336.0</v>
      </c>
    </row>
    <row r="601">
      <c r="A601" s="1">
        <v>430340.0</v>
      </c>
      <c r="B601" s="1">
        <v>0.0</v>
      </c>
      <c r="C601" s="1" t="s">
        <v>8408</v>
      </c>
      <c r="D601" s="1" t="s">
        <v>5081</v>
      </c>
      <c r="F601" s="1" t="s">
        <v>8409</v>
      </c>
      <c r="G601" s="1" t="s">
        <v>5122</v>
      </c>
      <c r="H601" s="1" t="s">
        <v>5102</v>
      </c>
      <c r="I601" s="1" t="s">
        <v>516</v>
      </c>
      <c r="J601" s="1" t="s">
        <v>202</v>
      </c>
      <c r="K601" s="6" t="s">
        <v>8410</v>
      </c>
      <c r="L601" s="6" t="s">
        <v>8411</v>
      </c>
      <c r="M601" s="1" t="s">
        <v>8412</v>
      </c>
      <c r="O601" s="5">
        <v>44328.0</v>
      </c>
      <c r="R601" s="1" t="b">
        <v>1</v>
      </c>
      <c r="U601" s="1" t="b">
        <v>0</v>
      </c>
      <c r="V601" s="1" t="s">
        <v>6982</v>
      </c>
      <c r="X601" s="1">
        <v>200.0</v>
      </c>
      <c r="AA601" s="1" t="s">
        <v>8404</v>
      </c>
      <c r="AG601" s="5">
        <v>44336.0</v>
      </c>
    </row>
    <row r="602">
      <c r="A602" s="1">
        <v>430341.0</v>
      </c>
      <c r="B602" s="1">
        <v>0.0</v>
      </c>
      <c r="C602" s="1" t="s">
        <v>8413</v>
      </c>
      <c r="D602" s="1" t="s">
        <v>5068</v>
      </c>
      <c r="F602" s="1" t="s">
        <v>8414</v>
      </c>
      <c r="G602" s="1" t="s">
        <v>5122</v>
      </c>
      <c r="H602" s="1" t="s">
        <v>5102</v>
      </c>
      <c r="I602" s="1" t="s">
        <v>516</v>
      </c>
      <c r="J602" s="1" t="s">
        <v>202</v>
      </c>
      <c r="K602" s="6" t="s">
        <v>8415</v>
      </c>
      <c r="L602" s="6" t="s">
        <v>8416</v>
      </c>
      <c r="M602" s="1" t="s">
        <v>8417</v>
      </c>
      <c r="O602" s="5">
        <v>44328.0</v>
      </c>
      <c r="R602" s="1" t="b">
        <v>1</v>
      </c>
      <c r="U602" s="1" t="b">
        <v>0</v>
      </c>
      <c r="V602" s="1" t="s">
        <v>6982</v>
      </c>
      <c r="X602" s="1">
        <v>200.0</v>
      </c>
      <c r="AG602" s="5">
        <v>44336.0</v>
      </c>
    </row>
    <row r="603">
      <c r="A603" s="1">
        <v>430342.0</v>
      </c>
      <c r="B603" s="1">
        <v>0.0</v>
      </c>
      <c r="C603" s="1" t="s">
        <v>8418</v>
      </c>
      <c r="D603" s="1" t="s">
        <v>5081</v>
      </c>
      <c r="F603" s="1" t="s">
        <v>8419</v>
      </c>
      <c r="G603" s="1" t="s">
        <v>5122</v>
      </c>
      <c r="H603" s="1" t="s">
        <v>5102</v>
      </c>
      <c r="I603" s="1" t="s">
        <v>516</v>
      </c>
      <c r="J603" s="1" t="s">
        <v>202</v>
      </c>
      <c r="K603" s="6" t="s">
        <v>8420</v>
      </c>
      <c r="L603" s="6" t="s">
        <v>8421</v>
      </c>
      <c r="M603" s="1" t="s">
        <v>8422</v>
      </c>
      <c r="O603" s="5">
        <v>44328.0</v>
      </c>
      <c r="R603" s="1" t="b">
        <v>1</v>
      </c>
      <c r="U603" s="1" t="b">
        <v>0</v>
      </c>
      <c r="V603" s="1" t="s">
        <v>6982</v>
      </c>
      <c r="X603" s="1">
        <v>200.0</v>
      </c>
      <c r="AA603" s="1" t="s">
        <v>8414</v>
      </c>
      <c r="AG603" s="5">
        <v>44336.0</v>
      </c>
    </row>
    <row r="604">
      <c r="A604" s="1">
        <v>431397.0</v>
      </c>
      <c r="B604" s="1">
        <v>0.0</v>
      </c>
      <c r="C604" s="1" t="s">
        <v>7054</v>
      </c>
      <c r="D604" s="1" t="s">
        <v>5068</v>
      </c>
      <c r="F604" s="1" t="s">
        <v>8423</v>
      </c>
      <c r="G604" s="1" t="s">
        <v>26</v>
      </c>
      <c r="H604" s="1" t="s">
        <v>5116</v>
      </c>
      <c r="I604" s="1" t="s">
        <v>18</v>
      </c>
      <c r="J604" s="1" t="s">
        <v>70</v>
      </c>
      <c r="K604" s="6" t="s">
        <v>8424</v>
      </c>
      <c r="L604" s="6" t="s">
        <v>8425</v>
      </c>
      <c r="M604" s="1" t="s">
        <v>6819</v>
      </c>
      <c r="O604" s="5">
        <v>44173.0</v>
      </c>
      <c r="P604" s="5">
        <v>44235.0</v>
      </c>
      <c r="R604" s="1" t="b">
        <v>0</v>
      </c>
      <c r="U604" s="1" t="b">
        <v>1</v>
      </c>
      <c r="V604" s="1" t="s">
        <v>5126</v>
      </c>
      <c r="W604" s="1" t="s">
        <v>8426</v>
      </c>
      <c r="X604" s="1">
        <v>200.0</v>
      </c>
      <c r="Y604" s="1" t="s">
        <v>5075</v>
      </c>
      <c r="AB604" s="1" t="s">
        <v>8427</v>
      </c>
      <c r="AG604" s="5">
        <v>44349.0</v>
      </c>
    </row>
    <row r="605">
      <c r="A605" s="1">
        <v>431969.0</v>
      </c>
      <c r="B605" s="1">
        <v>0.0</v>
      </c>
      <c r="C605" s="1" t="s">
        <v>8428</v>
      </c>
      <c r="D605" s="1" t="s">
        <v>5068</v>
      </c>
      <c r="F605" s="1" t="s">
        <v>8429</v>
      </c>
      <c r="G605" s="1" t="s">
        <v>26</v>
      </c>
      <c r="H605" s="1" t="s">
        <v>5102</v>
      </c>
      <c r="I605" s="1" t="s">
        <v>516</v>
      </c>
      <c r="J605" s="1" t="s">
        <v>21</v>
      </c>
      <c r="K605" s="6" t="s">
        <v>8430</v>
      </c>
      <c r="L605" s="6" t="s">
        <v>8431</v>
      </c>
      <c r="M605" s="1" t="s">
        <v>8432</v>
      </c>
      <c r="O605" s="5">
        <v>44350.0</v>
      </c>
      <c r="R605" s="1" t="b">
        <v>1</v>
      </c>
      <c r="U605" s="1" t="b">
        <v>0</v>
      </c>
      <c r="V605" s="1" t="s">
        <v>6982</v>
      </c>
      <c r="X605" s="1">
        <v>200.0</v>
      </c>
      <c r="AG605" s="5">
        <v>44355.0</v>
      </c>
    </row>
    <row r="606">
      <c r="A606" s="1">
        <v>435738.0</v>
      </c>
      <c r="B606" s="1">
        <v>0.0</v>
      </c>
      <c r="C606" s="1" t="s">
        <v>8428</v>
      </c>
      <c r="D606" s="1" t="s">
        <v>5068</v>
      </c>
      <c r="F606" s="1" t="s">
        <v>8433</v>
      </c>
      <c r="G606" s="1" t="s">
        <v>26</v>
      </c>
      <c r="H606" s="1" t="s">
        <v>5102</v>
      </c>
      <c r="I606" s="1" t="s">
        <v>18</v>
      </c>
      <c r="J606" s="1" t="s">
        <v>21</v>
      </c>
      <c r="K606" s="6" t="s">
        <v>8434</v>
      </c>
      <c r="L606" s="6" t="s">
        <v>8435</v>
      </c>
      <c r="M606" s="1" t="s">
        <v>8436</v>
      </c>
      <c r="O606" s="5">
        <v>44364.0</v>
      </c>
      <c r="P606" s="5">
        <v>44317.0</v>
      </c>
      <c r="R606" s="1" t="b">
        <v>0</v>
      </c>
      <c r="U606" s="1" t="b">
        <v>1</v>
      </c>
      <c r="V606" s="1" t="s">
        <v>8437</v>
      </c>
      <c r="W606" s="1" t="s">
        <v>8438</v>
      </c>
      <c r="X606" s="1">
        <v>200.0</v>
      </c>
      <c r="Y606" s="1" t="s">
        <v>5075</v>
      </c>
      <c r="AE606" s="6" t="s">
        <v>8439</v>
      </c>
      <c r="AG606" s="5">
        <v>44370.0</v>
      </c>
    </row>
    <row r="607">
      <c r="A607" s="1">
        <v>436750.0</v>
      </c>
      <c r="B607" s="1">
        <v>0.0</v>
      </c>
      <c r="C607" s="1" t="s">
        <v>8440</v>
      </c>
      <c r="D607" s="1" t="s">
        <v>5068</v>
      </c>
      <c r="E607" s="5">
        <v>44477.0</v>
      </c>
      <c r="F607" s="1" t="s">
        <v>8441</v>
      </c>
      <c r="G607" s="1" t="s">
        <v>26</v>
      </c>
      <c r="H607" s="1" t="s">
        <v>5102</v>
      </c>
      <c r="I607" s="1" t="s">
        <v>52</v>
      </c>
      <c r="J607" s="1" t="s">
        <v>14</v>
      </c>
      <c r="K607" s="6" t="s">
        <v>8442</v>
      </c>
      <c r="L607" s="6" t="s">
        <v>8443</v>
      </c>
      <c r="M607" s="1" t="s">
        <v>8444</v>
      </c>
      <c r="O607" s="5">
        <v>44372.0</v>
      </c>
      <c r="P607" s="5">
        <v>44927.0</v>
      </c>
      <c r="R607" s="1" t="b">
        <v>0</v>
      </c>
      <c r="T607" s="1">
        <v>604.0</v>
      </c>
      <c r="U607" s="1" t="b">
        <v>1</v>
      </c>
      <c r="V607" s="1" t="s">
        <v>5688</v>
      </c>
      <c r="W607" s="1" t="s">
        <v>8445</v>
      </c>
      <c r="X607" s="1">
        <v>200.0</v>
      </c>
      <c r="Y607" s="1" t="s">
        <v>5075</v>
      </c>
      <c r="Z607" s="1" t="s">
        <v>5173</v>
      </c>
      <c r="AE607" s="6" t="s">
        <v>8446</v>
      </c>
      <c r="AG607" s="5">
        <v>44382.0</v>
      </c>
    </row>
    <row r="608">
      <c r="A608" s="1">
        <v>440360.0</v>
      </c>
      <c r="B608" s="1">
        <v>0.0</v>
      </c>
      <c r="C608" s="1" t="s">
        <v>8447</v>
      </c>
      <c r="D608" s="1" t="s">
        <v>5068</v>
      </c>
      <c r="F608" s="1" t="s">
        <v>8448</v>
      </c>
      <c r="G608" s="1" t="s">
        <v>26</v>
      </c>
      <c r="H608" s="1" t="s">
        <v>5102</v>
      </c>
      <c r="I608" s="1" t="s">
        <v>516</v>
      </c>
      <c r="J608" s="1" t="s">
        <v>5071</v>
      </c>
      <c r="K608" s="6" t="s">
        <v>8449</v>
      </c>
      <c r="L608" s="6" t="s">
        <v>8450</v>
      </c>
      <c r="M608" s="1" t="s">
        <v>8451</v>
      </c>
      <c r="O608" s="5">
        <v>44401.0</v>
      </c>
      <c r="R608" s="1" t="b">
        <v>1</v>
      </c>
      <c r="U608" s="1" t="b">
        <v>0</v>
      </c>
      <c r="V608" s="1" t="s">
        <v>6982</v>
      </c>
      <c r="X608" s="1">
        <v>200.0</v>
      </c>
      <c r="AE608" s="6" t="s">
        <v>8452</v>
      </c>
      <c r="AG608" s="5">
        <v>44405.0</v>
      </c>
    </row>
    <row r="609">
      <c r="A609" s="1">
        <v>440361.0</v>
      </c>
      <c r="B609" s="1">
        <v>0.0</v>
      </c>
      <c r="C609" s="1" t="s">
        <v>8453</v>
      </c>
      <c r="D609" s="1" t="s">
        <v>5081</v>
      </c>
      <c r="F609" s="1" t="s">
        <v>8454</v>
      </c>
      <c r="G609" s="1" t="s">
        <v>26</v>
      </c>
      <c r="H609" s="1" t="s">
        <v>5102</v>
      </c>
      <c r="I609" s="1" t="s">
        <v>516</v>
      </c>
      <c r="J609" s="1" t="s">
        <v>5071</v>
      </c>
      <c r="K609" s="6" t="s">
        <v>8455</v>
      </c>
      <c r="L609" s="6" t="s">
        <v>8456</v>
      </c>
      <c r="M609" s="1" t="s">
        <v>8457</v>
      </c>
      <c r="O609" s="5">
        <v>44401.0</v>
      </c>
      <c r="R609" s="1" t="b">
        <v>1</v>
      </c>
      <c r="U609" s="1" t="b">
        <v>0</v>
      </c>
      <c r="V609" s="1" t="s">
        <v>6982</v>
      </c>
      <c r="X609" s="1">
        <v>200.0</v>
      </c>
      <c r="AA609" s="1" t="s">
        <v>8448</v>
      </c>
      <c r="AE609" s="6" t="s">
        <v>8452</v>
      </c>
      <c r="AG609" s="5">
        <v>44405.0</v>
      </c>
    </row>
    <row r="610">
      <c r="A610" s="1">
        <v>440362.0</v>
      </c>
      <c r="B610" s="1">
        <v>0.0</v>
      </c>
      <c r="C610" s="1" t="s">
        <v>8458</v>
      </c>
      <c r="D610" s="1" t="s">
        <v>5068</v>
      </c>
      <c r="F610" s="1" t="s">
        <v>8459</v>
      </c>
      <c r="G610" s="1" t="s">
        <v>26</v>
      </c>
      <c r="H610" s="1" t="s">
        <v>5102</v>
      </c>
      <c r="I610" s="1" t="s">
        <v>516</v>
      </c>
      <c r="J610" s="1" t="s">
        <v>5071</v>
      </c>
      <c r="K610" s="6" t="s">
        <v>8460</v>
      </c>
      <c r="L610" s="6" t="s">
        <v>8461</v>
      </c>
      <c r="M610" s="1" t="s">
        <v>8462</v>
      </c>
      <c r="O610" s="5">
        <v>44401.0</v>
      </c>
      <c r="R610" s="1" t="b">
        <v>1</v>
      </c>
      <c r="U610" s="1" t="b">
        <v>0</v>
      </c>
      <c r="V610" s="1" t="s">
        <v>6982</v>
      </c>
      <c r="X610" s="1">
        <v>200.0</v>
      </c>
      <c r="AE610" s="6" t="s">
        <v>8452</v>
      </c>
      <c r="AG610" s="5">
        <v>44405.0</v>
      </c>
    </row>
    <row r="611">
      <c r="A611" s="1">
        <v>440363.0</v>
      </c>
      <c r="B611" s="1">
        <v>0.0</v>
      </c>
      <c r="C611" s="1" t="s">
        <v>8463</v>
      </c>
      <c r="D611" s="1" t="s">
        <v>5081</v>
      </c>
      <c r="F611" s="1" t="s">
        <v>8464</v>
      </c>
      <c r="G611" s="1" t="s">
        <v>26</v>
      </c>
      <c r="H611" s="1" t="s">
        <v>5102</v>
      </c>
      <c r="I611" s="1" t="s">
        <v>516</v>
      </c>
      <c r="J611" s="1" t="s">
        <v>5071</v>
      </c>
      <c r="K611" s="6" t="s">
        <v>8465</v>
      </c>
      <c r="L611" s="6" t="s">
        <v>8466</v>
      </c>
      <c r="M611" s="1" t="s">
        <v>8467</v>
      </c>
      <c r="O611" s="5">
        <v>44401.0</v>
      </c>
      <c r="R611" s="1" t="b">
        <v>1</v>
      </c>
      <c r="U611" s="1" t="b">
        <v>0</v>
      </c>
      <c r="V611" s="1" t="s">
        <v>6982</v>
      </c>
      <c r="X611" s="1">
        <v>200.0</v>
      </c>
      <c r="AA611" s="1" t="s">
        <v>8459</v>
      </c>
      <c r="AE611" s="6" t="s">
        <v>8452</v>
      </c>
      <c r="AG611" s="5">
        <v>44405.0</v>
      </c>
    </row>
    <row r="612">
      <c r="A612" s="1">
        <v>448498.0</v>
      </c>
      <c r="B612" s="1">
        <v>0.0</v>
      </c>
      <c r="C612" s="1" t="s">
        <v>8468</v>
      </c>
      <c r="D612" s="1" t="s">
        <v>5068</v>
      </c>
      <c r="F612" s="1" t="s">
        <v>8469</v>
      </c>
      <c r="G612" s="1" t="s">
        <v>26</v>
      </c>
      <c r="H612" s="1" t="s">
        <v>5102</v>
      </c>
      <c r="I612" s="1" t="s">
        <v>516</v>
      </c>
      <c r="J612" s="1" t="s">
        <v>202</v>
      </c>
      <c r="K612" s="6" t="s">
        <v>8470</v>
      </c>
      <c r="L612" s="6" t="s">
        <v>8471</v>
      </c>
      <c r="M612" s="1" t="s">
        <v>8472</v>
      </c>
      <c r="O612" s="5">
        <v>44455.0</v>
      </c>
      <c r="R612" s="1" t="b">
        <v>1</v>
      </c>
      <c r="U612" s="1" t="b">
        <v>0</v>
      </c>
      <c r="V612" s="1" t="s">
        <v>6982</v>
      </c>
      <c r="X612" s="1">
        <v>200.0</v>
      </c>
      <c r="AG612" s="5">
        <v>44455.0</v>
      </c>
    </row>
    <row r="613">
      <c r="A613" s="1">
        <v>448499.0</v>
      </c>
      <c r="B613" s="1">
        <v>0.0</v>
      </c>
      <c r="C613" s="1" t="s">
        <v>8473</v>
      </c>
      <c r="D613" s="1" t="s">
        <v>5081</v>
      </c>
      <c r="F613" s="1" t="s">
        <v>8474</v>
      </c>
      <c r="G613" s="1" t="s">
        <v>26</v>
      </c>
      <c r="H613" s="1" t="s">
        <v>5102</v>
      </c>
      <c r="I613" s="1" t="s">
        <v>516</v>
      </c>
      <c r="J613" s="1" t="s">
        <v>202</v>
      </c>
      <c r="K613" s="6" t="s">
        <v>8475</v>
      </c>
      <c r="L613" s="6" t="s">
        <v>8476</v>
      </c>
      <c r="M613" s="1" t="s">
        <v>8477</v>
      </c>
      <c r="O613" s="5">
        <v>44455.0</v>
      </c>
      <c r="R613" s="1" t="b">
        <v>1</v>
      </c>
      <c r="U613" s="1" t="b">
        <v>0</v>
      </c>
      <c r="V613" s="1" t="s">
        <v>6982</v>
      </c>
      <c r="X613" s="1">
        <v>200.0</v>
      </c>
      <c r="AA613" s="1" t="s">
        <v>8469</v>
      </c>
      <c r="AG613" s="5">
        <v>44455.0</v>
      </c>
    </row>
    <row r="614">
      <c r="A614" s="1">
        <v>451019.0</v>
      </c>
      <c r="B614" s="1">
        <v>0.0</v>
      </c>
      <c r="C614" s="1" t="s">
        <v>8478</v>
      </c>
      <c r="D614" s="1" t="s">
        <v>5068</v>
      </c>
      <c r="F614" s="1" t="s">
        <v>8479</v>
      </c>
      <c r="G614" s="1" t="s">
        <v>5368</v>
      </c>
      <c r="H614" s="1" t="s">
        <v>5102</v>
      </c>
      <c r="I614" s="1" t="s">
        <v>18</v>
      </c>
      <c r="J614" s="1" t="s">
        <v>66</v>
      </c>
      <c r="K614" s="6" t="s">
        <v>8480</v>
      </c>
      <c r="L614" s="6" t="s">
        <v>8481</v>
      </c>
      <c r="M614" s="1" t="s">
        <v>8482</v>
      </c>
      <c r="R614" s="1" t="b">
        <v>0</v>
      </c>
      <c r="U614" s="1" t="b">
        <v>0</v>
      </c>
      <c r="V614" s="1" t="s">
        <v>8483</v>
      </c>
      <c r="W614" s="1" t="s">
        <v>8484</v>
      </c>
      <c r="X614" s="1">
        <v>200.0</v>
      </c>
      <c r="Y614" s="1" t="s">
        <v>5075</v>
      </c>
      <c r="AE614" s="6" t="s">
        <v>8485</v>
      </c>
      <c r="AG614" s="5">
        <v>44476.0</v>
      </c>
    </row>
    <row r="615">
      <c r="A615" s="1">
        <v>451024.0</v>
      </c>
      <c r="B615" s="1">
        <v>0.0</v>
      </c>
      <c r="C615" s="1" t="s">
        <v>5515</v>
      </c>
      <c r="D615" s="1" t="s">
        <v>5068</v>
      </c>
      <c r="F615" s="1" t="s">
        <v>8486</v>
      </c>
      <c r="G615" s="1" t="s">
        <v>8487</v>
      </c>
      <c r="H615" s="1" t="s">
        <v>5102</v>
      </c>
      <c r="I615" s="1" t="s">
        <v>18</v>
      </c>
      <c r="J615" s="1" t="s">
        <v>66</v>
      </c>
      <c r="K615" s="6" t="s">
        <v>8488</v>
      </c>
      <c r="L615" s="6" t="s">
        <v>8489</v>
      </c>
      <c r="M615" s="1" t="s">
        <v>8490</v>
      </c>
      <c r="R615" s="1" t="b">
        <v>0</v>
      </c>
      <c r="T615" s="1">
        <v>4322.0</v>
      </c>
      <c r="U615" s="1" t="b">
        <v>0</v>
      </c>
      <c r="V615" s="1" t="s">
        <v>8491</v>
      </c>
      <c r="W615" s="1" t="s">
        <v>8492</v>
      </c>
      <c r="X615" s="1">
        <v>200.0</v>
      </c>
      <c r="Z615" s="1" t="s">
        <v>6354</v>
      </c>
      <c r="AE615" s="6" t="s">
        <v>8493</v>
      </c>
      <c r="AG615" s="5">
        <v>44476.0</v>
      </c>
    </row>
    <row r="616">
      <c r="A616" s="1">
        <v>451025.0</v>
      </c>
      <c r="B616" s="1">
        <v>0.0</v>
      </c>
      <c r="C616" s="1" t="s">
        <v>8494</v>
      </c>
      <c r="D616" s="1" t="s">
        <v>5068</v>
      </c>
      <c r="F616" s="1" t="s">
        <v>8495</v>
      </c>
      <c r="G616" s="1" t="s">
        <v>5368</v>
      </c>
      <c r="H616" s="1" t="s">
        <v>5102</v>
      </c>
      <c r="I616" s="1" t="s">
        <v>18</v>
      </c>
      <c r="J616" s="1" t="s">
        <v>66</v>
      </c>
      <c r="K616" s="6" t="s">
        <v>8496</v>
      </c>
      <c r="L616" s="6" t="s">
        <v>8497</v>
      </c>
      <c r="M616" s="1" t="s">
        <v>8498</v>
      </c>
      <c r="R616" s="1" t="b">
        <v>0</v>
      </c>
      <c r="T616" s="1">
        <v>451019.0</v>
      </c>
      <c r="U616" s="1" t="b">
        <v>0</v>
      </c>
      <c r="V616" s="1" t="s">
        <v>8499</v>
      </c>
      <c r="W616" s="1" t="s">
        <v>8500</v>
      </c>
      <c r="X616" s="1">
        <v>200.0</v>
      </c>
      <c r="Y616" s="1" t="s">
        <v>5075</v>
      </c>
      <c r="Z616" s="1" t="s">
        <v>8479</v>
      </c>
      <c r="AE616" s="6" t="s">
        <v>8501</v>
      </c>
      <c r="AG616" s="5">
        <v>44476.0</v>
      </c>
    </row>
    <row r="617">
      <c r="A617" s="1">
        <v>451026.0</v>
      </c>
      <c r="B617" s="1">
        <v>0.0</v>
      </c>
      <c r="C617" s="1" t="s">
        <v>8502</v>
      </c>
      <c r="D617" s="1" t="s">
        <v>5068</v>
      </c>
      <c r="F617" s="1" t="s">
        <v>8503</v>
      </c>
      <c r="G617" s="1" t="s">
        <v>8504</v>
      </c>
      <c r="H617" s="1" t="s">
        <v>5102</v>
      </c>
      <c r="I617" s="1" t="s">
        <v>18</v>
      </c>
      <c r="J617" s="1" t="s">
        <v>66</v>
      </c>
      <c r="K617" s="6" t="s">
        <v>8505</v>
      </c>
      <c r="L617" s="6" t="s">
        <v>8506</v>
      </c>
      <c r="M617" s="1" t="s">
        <v>8507</v>
      </c>
      <c r="R617" s="1" t="b">
        <v>0</v>
      </c>
      <c r="T617" s="1">
        <v>451021.0</v>
      </c>
      <c r="U617" s="1" t="b">
        <v>0</v>
      </c>
      <c r="V617" s="1" t="s">
        <v>8508</v>
      </c>
      <c r="W617" s="1" t="s">
        <v>8509</v>
      </c>
      <c r="X617" s="1">
        <v>200.0</v>
      </c>
      <c r="Y617" s="1" t="s">
        <v>5075</v>
      </c>
      <c r="Z617" s="1" t="s">
        <v>2673</v>
      </c>
      <c r="AE617" s="6" t="s">
        <v>8510</v>
      </c>
      <c r="AG617" s="5">
        <v>44476.0</v>
      </c>
    </row>
    <row r="618">
      <c r="A618" s="1">
        <v>451027.0</v>
      </c>
      <c r="B618" s="1">
        <v>0.0</v>
      </c>
      <c r="C618" s="1" t="s">
        <v>5936</v>
      </c>
      <c r="D618" s="1" t="s">
        <v>5068</v>
      </c>
      <c r="F618" s="1" t="s">
        <v>8511</v>
      </c>
      <c r="G618" s="1" t="s">
        <v>8504</v>
      </c>
      <c r="H618" s="1" t="s">
        <v>5102</v>
      </c>
      <c r="I618" s="1" t="s">
        <v>18</v>
      </c>
      <c r="J618" s="1" t="s">
        <v>66</v>
      </c>
      <c r="K618" s="6" t="s">
        <v>8512</v>
      </c>
      <c r="L618" s="6" t="s">
        <v>8513</v>
      </c>
      <c r="M618" s="1" t="s">
        <v>8514</v>
      </c>
      <c r="R618" s="1" t="b">
        <v>0</v>
      </c>
      <c r="T618" s="1">
        <v>451021.0</v>
      </c>
      <c r="U618" s="1" t="b">
        <v>0</v>
      </c>
      <c r="V618" s="1" t="s">
        <v>8515</v>
      </c>
      <c r="W618" s="1" t="s">
        <v>8516</v>
      </c>
      <c r="X618" s="1">
        <v>200.0</v>
      </c>
      <c r="Y618" s="1" t="s">
        <v>5075</v>
      </c>
      <c r="Z618" s="1" t="s">
        <v>2673</v>
      </c>
      <c r="AE618" s="6" t="s">
        <v>8510</v>
      </c>
      <c r="AG618" s="5">
        <v>44476.0</v>
      </c>
    </row>
    <row r="619">
      <c r="A619" s="1">
        <v>453460.0</v>
      </c>
      <c r="B619" s="1">
        <v>0.0</v>
      </c>
      <c r="C619" s="1" t="s">
        <v>8517</v>
      </c>
      <c r="D619" s="1" t="s">
        <v>5068</v>
      </c>
      <c r="F619" s="1" t="s">
        <v>8518</v>
      </c>
      <c r="G619" s="1" t="s">
        <v>26</v>
      </c>
      <c r="H619" s="1" t="s">
        <v>5102</v>
      </c>
      <c r="I619" s="1" t="s">
        <v>18</v>
      </c>
      <c r="J619" s="1" t="s">
        <v>5149</v>
      </c>
      <c r="K619" s="6" t="s">
        <v>8519</v>
      </c>
      <c r="L619" s="6" t="s">
        <v>8520</v>
      </c>
      <c r="M619" s="1" t="s">
        <v>8521</v>
      </c>
      <c r="P619" s="5">
        <v>38147.0</v>
      </c>
      <c r="R619" s="1" t="b">
        <v>0</v>
      </c>
      <c r="T619" s="1">
        <v>294.0</v>
      </c>
      <c r="U619" s="1" t="b">
        <v>0</v>
      </c>
      <c r="V619" s="1" t="s">
        <v>8522</v>
      </c>
      <c r="W619" s="1" t="s">
        <v>8523</v>
      </c>
      <c r="X619" s="1">
        <v>200.0</v>
      </c>
      <c r="Z619" s="1" t="s">
        <v>5148</v>
      </c>
      <c r="AG619" s="5">
        <v>44488.0</v>
      </c>
    </row>
    <row r="620">
      <c r="A620" s="1">
        <v>453461.0</v>
      </c>
      <c r="B620" s="1">
        <v>0.0</v>
      </c>
      <c r="C620" s="1" t="s">
        <v>8524</v>
      </c>
      <c r="D620" s="1" t="s">
        <v>5068</v>
      </c>
      <c r="F620" s="1" t="s">
        <v>8525</v>
      </c>
      <c r="G620" s="1" t="s">
        <v>26</v>
      </c>
      <c r="H620" s="1" t="s">
        <v>5102</v>
      </c>
      <c r="I620" s="1" t="s">
        <v>18</v>
      </c>
      <c r="J620" s="1" t="s">
        <v>5149</v>
      </c>
      <c r="K620" s="6" t="s">
        <v>8526</v>
      </c>
      <c r="L620" s="6" t="s">
        <v>8527</v>
      </c>
      <c r="M620" s="1" t="s">
        <v>8528</v>
      </c>
      <c r="P620" s="5">
        <v>37813.0</v>
      </c>
      <c r="R620" s="1" t="b">
        <v>0</v>
      </c>
      <c r="T620" s="1">
        <v>294.0</v>
      </c>
      <c r="U620" s="1" t="b">
        <v>0</v>
      </c>
      <c r="V620" s="1" t="s">
        <v>5182</v>
      </c>
      <c r="W620" s="1" t="s">
        <v>8529</v>
      </c>
      <c r="X620" s="1">
        <v>200.0</v>
      </c>
      <c r="Z620" s="1" t="s">
        <v>5148</v>
      </c>
      <c r="AG620" s="5">
        <v>44488.0</v>
      </c>
    </row>
    <row r="621">
      <c r="A621" s="1">
        <v>454282.0</v>
      </c>
      <c r="B621" s="1">
        <v>0.0</v>
      </c>
      <c r="C621" s="1" t="s">
        <v>8530</v>
      </c>
      <c r="D621" s="1" t="s">
        <v>5068</v>
      </c>
      <c r="F621" s="1" t="s">
        <v>8531</v>
      </c>
      <c r="G621" s="1" t="s">
        <v>26</v>
      </c>
      <c r="H621" s="1" t="s">
        <v>5116</v>
      </c>
      <c r="I621" s="1" t="s">
        <v>18</v>
      </c>
      <c r="J621" s="1" t="s">
        <v>5071</v>
      </c>
      <c r="K621" s="6" t="s">
        <v>8532</v>
      </c>
      <c r="L621" s="6" t="s">
        <v>8533</v>
      </c>
      <c r="M621" s="1" t="s">
        <v>8534</v>
      </c>
      <c r="O621" s="5">
        <v>44409.0</v>
      </c>
      <c r="P621" s="5">
        <v>44409.0</v>
      </c>
      <c r="R621" s="1" t="b">
        <v>0</v>
      </c>
      <c r="U621" s="1" t="b">
        <v>1</v>
      </c>
      <c r="V621" s="1" t="s">
        <v>8535</v>
      </c>
      <c r="W621" s="1" t="s">
        <v>8536</v>
      </c>
      <c r="X621" s="1">
        <v>200.0</v>
      </c>
      <c r="Y621" s="1" t="s">
        <v>5075</v>
      </c>
      <c r="AB621" s="1" t="s">
        <v>7381</v>
      </c>
      <c r="AG621" s="5">
        <v>44491.0</v>
      </c>
    </row>
    <row r="622">
      <c r="A622" s="1">
        <v>454283.0</v>
      </c>
      <c r="B622" s="1">
        <v>0.0</v>
      </c>
      <c r="C622" s="1" t="s">
        <v>8537</v>
      </c>
      <c r="D622" s="1" t="s">
        <v>5081</v>
      </c>
      <c r="F622" s="1" t="s">
        <v>8538</v>
      </c>
      <c r="G622" s="1" t="s">
        <v>26</v>
      </c>
      <c r="H622" s="1" t="s">
        <v>5116</v>
      </c>
      <c r="I622" s="1" t="s">
        <v>18</v>
      </c>
      <c r="J622" s="1" t="s">
        <v>5071</v>
      </c>
      <c r="K622" s="6" t="s">
        <v>8539</v>
      </c>
      <c r="L622" s="6" t="s">
        <v>8540</v>
      </c>
      <c r="M622" s="1" t="s">
        <v>8541</v>
      </c>
      <c r="O622" s="5">
        <v>44409.0</v>
      </c>
      <c r="P622" s="5">
        <v>44409.0</v>
      </c>
      <c r="R622" s="1" t="b">
        <v>0</v>
      </c>
      <c r="U622" s="1" t="b">
        <v>1</v>
      </c>
      <c r="V622" s="1" t="s">
        <v>8535</v>
      </c>
      <c r="W622" s="1" t="s">
        <v>8536</v>
      </c>
      <c r="X622" s="1">
        <v>200.0</v>
      </c>
      <c r="AA622" s="1" t="s">
        <v>8531</v>
      </c>
      <c r="AB622" s="6" t="s">
        <v>7385</v>
      </c>
      <c r="AG622" s="5">
        <v>44491.0</v>
      </c>
    </row>
    <row r="623">
      <c r="A623" s="1">
        <v>454562.0</v>
      </c>
      <c r="B623" s="1">
        <v>0.0</v>
      </c>
      <c r="C623" s="1" t="s">
        <v>8542</v>
      </c>
      <c r="D623" s="1" t="s">
        <v>5068</v>
      </c>
      <c r="F623" s="1" t="s">
        <v>8543</v>
      </c>
      <c r="G623" s="1" t="s">
        <v>26</v>
      </c>
      <c r="H623" s="1" t="s">
        <v>5102</v>
      </c>
      <c r="I623" s="1" t="s">
        <v>18</v>
      </c>
      <c r="J623" s="1" t="s">
        <v>70</v>
      </c>
      <c r="K623" s="6" t="s">
        <v>8544</v>
      </c>
      <c r="L623" s="6" t="s">
        <v>8545</v>
      </c>
      <c r="M623" s="1" t="s">
        <v>8546</v>
      </c>
      <c r="P623" s="5">
        <v>37510.0</v>
      </c>
      <c r="R623" s="1" t="b">
        <v>0</v>
      </c>
      <c r="T623" s="1">
        <v>69.0</v>
      </c>
      <c r="U623" s="1" t="b">
        <v>0</v>
      </c>
      <c r="V623" s="1" t="s">
        <v>8547</v>
      </c>
      <c r="W623" s="1" t="s">
        <v>8548</v>
      </c>
      <c r="X623" s="1">
        <v>200.0</v>
      </c>
      <c r="Z623" s="1" t="s">
        <v>3840</v>
      </c>
      <c r="AG623" s="5">
        <v>44496.0</v>
      </c>
    </row>
    <row r="624">
      <c r="A624" s="1">
        <v>454734.0</v>
      </c>
      <c r="B624" s="1">
        <v>0.0</v>
      </c>
      <c r="C624" s="1" t="s">
        <v>487</v>
      </c>
      <c r="D624" s="1" t="s">
        <v>5068</v>
      </c>
      <c r="E624" s="5">
        <v>44687.0</v>
      </c>
      <c r="F624" s="1" t="s">
        <v>488</v>
      </c>
      <c r="G624" s="1" t="s">
        <v>5368</v>
      </c>
      <c r="H624" s="1" t="s">
        <v>5102</v>
      </c>
      <c r="I624" s="1" t="s">
        <v>18</v>
      </c>
      <c r="J624" s="1" t="s">
        <v>486</v>
      </c>
      <c r="K624" s="1" t="s">
        <v>5072</v>
      </c>
      <c r="L624" s="6" t="s">
        <v>8549</v>
      </c>
      <c r="M624" s="1" t="s">
        <v>8550</v>
      </c>
      <c r="P624" s="5">
        <v>36844.0</v>
      </c>
      <c r="R624" s="1" t="b">
        <v>0</v>
      </c>
      <c r="U624" s="1" t="b">
        <v>0</v>
      </c>
      <c r="V624" s="1" t="s">
        <v>8551</v>
      </c>
      <c r="X624" s="1">
        <v>408.0</v>
      </c>
      <c r="AE624" s="6" t="s">
        <v>8552</v>
      </c>
      <c r="AG624" s="5">
        <v>44497.0</v>
      </c>
    </row>
    <row r="625">
      <c r="A625" s="1">
        <v>454736.0</v>
      </c>
      <c r="B625" s="1">
        <v>0.0</v>
      </c>
      <c r="C625" s="1" t="s">
        <v>8553</v>
      </c>
      <c r="D625" s="1" t="s">
        <v>5068</v>
      </c>
      <c r="F625" s="1" t="s">
        <v>8554</v>
      </c>
      <c r="G625" s="1" t="s">
        <v>26</v>
      </c>
      <c r="H625" s="1" t="s">
        <v>5102</v>
      </c>
      <c r="I625" s="1" t="s">
        <v>18</v>
      </c>
      <c r="J625" s="1" t="s">
        <v>486</v>
      </c>
      <c r="K625" s="1" t="s">
        <v>5072</v>
      </c>
      <c r="L625" s="6" t="s">
        <v>8555</v>
      </c>
      <c r="M625" s="1" t="s">
        <v>8556</v>
      </c>
      <c r="P625" s="5">
        <v>38308.0</v>
      </c>
      <c r="R625" s="1" t="b">
        <v>0</v>
      </c>
      <c r="T625" s="1">
        <v>454734.0</v>
      </c>
      <c r="U625" s="1" t="b">
        <v>0</v>
      </c>
      <c r="V625" s="1" t="s">
        <v>8557</v>
      </c>
      <c r="X625" s="1">
        <v>408.0</v>
      </c>
      <c r="Z625" s="1" t="s">
        <v>488</v>
      </c>
      <c r="AE625" s="6" t="s">
        <v>8558</v>
      </c>
      <c r="AG625" s="5">
        <v>44497.0</v>
      </c>
    </row>
    <row r="626">
      <c r="A626" s="1">
        <v>455693.0</v>
      </c>
      <c r="B626" s="1">
        <v>0.0</v>
      </c>
      <c r="C626" s="1" t="s">
        <v>8559</v>
      </c>
      <c r="D626" s="1" t="s">
        <v>5068</v>
      </c>
      <c r="F626" s="1" t="s">
        <v>8560</v>
      </c>
      <c r="G626" s="1" t="s">
        <v>5899</v>
      </c>
      <c r="H626" s="1" t="s">
        <v>5102</v>
      </c>
      <c r="I626" s="1" t="s">
        <v>516</v>
      </c>
      <c r="J626" s="1" t="s">
        <v>21</v>
      </c>
      <c r="K626" s="6" t="s">
        <v>8561</v>
      </c>
      <c r="L626" s="6" t="s">
        <v>8562</v>
      </c>
      <c r="M626" s="1" t="s">
        <v>8563</v>
      </c>
      <c r="O626" s="5">
        <v>44497.0</v>
      </c>
      <c r="R626" s="1" t="b">
        <v>1</v>
      </c>
      <c r="U626" s="1" t="b">
        <v>0</v>
      </c>
      <c r="V626" s="1" t="s">
        <v>6982</v>
      </c>
      <c r="X626" s="1">
        <v>200.0</v>
      </c>
      <c r="AG626" s="5">
        <v>44504.0</v>
      </c>
    </row>
    <row r="627">
      <c r="A627" s="1">
        <v>457404.0</v>
      </c>
      <c r="B627" s="1">
        <v>0.0</v>
      </c>
      <c r="C627" s="1" t="s">
        <v>8564</v>
      </c>
      <c r="D627" s="1" t="s">
        <v>5068</v>
      </c>
      <c r="F627" s="1" t="s">
        <v>8565</v>
      </c>
      <c r="G627" s="1" t="s">
        <v>26</v>
      </c>
      <c r="H627" s="1" t="s">
        <v>5102</v>
      </c>
      <c r="I627" s="1" t="s">
        <v>516</v>
      </c>
      <c r="J627" s="1" t="s">
        <v>70</v>
      </c>
      <c r="K627" s="6" t="s">
        <v>8566</v>
      </c>
      <c r="L627" s="6" t="s">
        <v>8567</v>
      </c>
      <c r="M627" s="1" t="s">
        <v>8568</v>
      </c>
      <c r="O627" s="5">
        <v>44509.0</v>
      </c>
      <c r="R627" s="1" t="b">
        <v>1</v>
      </c>
      <c r="U627" s="1" t="b">
        <v>0</v>
      </c>
      <c r="V627" s="1" t="s">
        <v>6982</v>
      </c>
      <c r="X627" s="1">
        <v>200.0</v>
      </c>
      <c r="AG627" s="5">
        <v>44516.0</v>
      </c>
    </row>
    <row r="628">
      <c r="A628" s="1">
        <v>459174.0</v>
      </c>
      <c r="B628" s="1">
        <v>0.0</v>
      </c>
      <c r="C628" s="1" t="s">
        <v>8569</v>
      </c>
      <c r="D628" s="1" t="s">
        <v>5068</v>
      </c>
      <c r="F628" s="1" t="s">
        <v>8570</v>
      </c>
      <c r="G628" s="1" t="s">
        <v>5368</v>
      </c>
      <c r="H628" s="1" t="s">
        <v>5102</v>
      </c>
      <c r="I628" s="1" t="s">
        <v>516</v>
      </c>
      <c r="J628" s="1" t="s">
        <v>21</v>
      </c>
      <c r="K628" s="6" t="s">
        <v>8571</v>
      </c>
      <c r="L628" s="6" t="s">
        <v>8572</v>
      </c>
      <c r="M628" s="1" t="s">
        <v>8573</v>
      </c>
      <c r="O628" s="5">
        <v>44518.0</v>
      </c>
      <c r="R628" s="1" t="b">
        <v>1</v>
      </c>
      <c r="U628" s="1" t="b">
        <v>0</v>
      </c>
      <c r="V628" s="1" t="s">
        <v>6982</v>
      </c>
      <c r="X628" s="1">
        <v>200.0</v>
      </c>
      <c r="AG628" s="5">
        <v>44526.0</v>
      </c>
    </row>
    <row r="629">
      <c r="A629" s="1">
        <v>460235.0</v>
      </c>
      <c r="B629" s="1">
        <v>0.0</v>
      </c>
      <c r="C629" s="1" t="s">
        <v>6448</v>
      </c>
      <c r="D629" s="1" t="s">
        <v>5068</v>
      </c>
      <c r="F629" s="1" t="s">
        <v>8574</v>
      </c>
      <c r="G629" s="1" t="s">
        <v>26</v>
      </c>
      <c r="H629" s="1" t="s">
        <v>5102</v>
      </c>
      <c r="I629" s="1" t="s">
        <v>18</v>
      </c>
      <c r="J629" s="1" t="s">
        <v>53</v>
      </c>
      <c r="K629" s="6" t="s">
        <v>8575</v>
      </c>
      <c r="L629" s="6" t="s">
        <v>8576</v>
      </c>
      <c r="M629" s="1" t="s">
        <v>8577</v>
      </c>
      <c r="R629" s="1" t="b">
        <v>0</v>
      </c>
      <c r="U629" s="1" t="b">
        <v>0</v>
      </c>
      <c r="V629" s="1" t="s">
        <v>8578</v>
      </c>
      <c r="W629" s="1" t="s">
        <v>8579</v>
      </c>
      <c r="X629" s="1">
        <v>200.0</v>
      </c>
      <c r="AE629" s="6" t="s">
        <v>8580</v>
      </c>
      <c r="AG629" s="5">
        <v>44532.0</v>
      </c>
    </row>
    <row r="630">
      <c r="A630" s="1">
        <v>460236.0</v>
      </c>
      <c r="B630" s="1">
        <v>0.0</v>
      </c>
      <c r="C630" s="1" t="s">
        <v>8581</v>
      </c>
      <c r="D630" s="1" t="s">
        <v>5068</v>
      </c>
      <c r="F630" s="1" t="s">
        <v>8582</v>
      </c>
      <c r="G630" s="1" t="s">
        <v>26</v>
      </c>
      <c r="H630" s="1" t="s">
        <v>5102</v>
      </c>
      <c r="I630" s="1" t="s">
        <v>18</v>
      </c>
      <c r="J630" s="1" t="s">
        <v>53</v>
      </c>
      <c r="K630" s="6" t="s">
        <v>8583</v>
      </c>
      <c r="L630" s="6" t="s">
        <v>8584</v>
      </c>
      <c r="M630" s="1" t="s">
        <v>8585</v>
      </c>
      <c r="O630" s="5">
        <v>41620.0</v>
      </c>
      <c r="R630" s="1" t="b">
        <v>0</v>
      </c>
      <c r="U630" s="1" t="b">
        <v>0</v>
      </c>
      <c r="V630" s="1" t="s">
        <v>8586</v>
      </c>
      <c r="W630" s="1" t="s">
        <v>8587</v>
      </c>
      <c r="X630" s="1">
        <v>200.0</v>
      </c>
      <c r="AE630" s="6" t="s">
        <v>8588</v>
      </c>
      <c r="AG630" s="5">
        <v>44532.0</v>
      </c>
    </row>
    <row r="631">
      <c r="A631" s="1">
        <v>460238.0</v>
      </c>
      <c r="B631" s="1">
        <v>0.0</v>
      </c>
      <c r="C631" s="1" t="s">
        <v>481</v>
      </c>
      <c r="D631" s="1" t="s">
        <v>5068</v>
      </c>
      <c r="F631" s="1" t="s">
        <v>8589</v>
      </c>
      <c r="G631" s="1" t="s">
        <v>5368</v>
      </c>
      <c r="H631" s="1" t="s">
        <v>5102</v>
      </c>
      <c r="I631" s="1" t="s">
        <v>18</v>
      </c>
      <c r="J631" s="1" t="s">
        <v>53</v>
      </c>
      <c r="K631" s="6" t="s">
        <v>8590</v>
      </c>
      <c r="L631" s="6" t="s">
        <v>8591</v>
      </c>
      <c r="M631" s="1" t="s">
        <v>8592</v>
      </c>
      <c r="R631" s="1" t="b">
        <v>0</v>
      </c>
      <c r="U631" s="1" t="b">
        <v>0</v>
      </c>
      <c r="V631" s="1" t="s">
        <v>8593</v>
      </c>
      <c r="W631" s="1" t="s">
        <v>8594</v>
      </c>
      <c r="X631" s="1">
        <v>200.0</v>
      </c>
      <c r="AE631" s="6" t="s">
        <v>8595</v>
      </c>
      <c r="AG631" s="5">
        <v>44532.0</v>
      </c>
    </row>
    <row r="632">
      <c r="A632" s="1">
        <v>460240.0</v>
      </c>
      <c r="B632" s="1">
        <v>0.0</v>
      </c>
      <c r="C632" s="1" t="s">
        <v>8596</v>
      </c>
      <c r="D632" s="1" t="s">
        <v>5068</v>
      </c>
      <c r="F632" s="1" t="s">
        <v>8597</v>
      </c>
      <c r="G632" s="1" t="s">
        <v>26</v>
      </c>
      <c r="H632" s="1" t="s">
        <v>5102</v>
      </c>
      <c r="I632" s="1" t="s">
        <v>18</v>
      </c>
      <c r="J632" s="1" t="s">
        <v>53</v>
      </c>
      <c r="K632" s="6" t="s">
        <v>8598</v>
      </c>
      <c r="L632" s="6" t="s">
        <v>8599</v>
      </c>
      <c r="M632" s="1" t="s">
        <v>8600</v>
      </c>
      <c r="O632" s="5">
        <v>36595.0</v>
      </c>
      <c r="P632" s="5">
        <v>36586.0</v>
      </c>
      <c r="R632" s="1" t="b">
        <v>0</v>
      </c>
      <c r="T632" s="1">
        <v>460235.0</v>
      </c>
      <c r="U632" s="1" t="b">
        <v>0</v>
      </c>
      <c r="V632" s="1" t="s">
        <v>8601</v>
      </c>
      <c r="W632" s="1" t="s">
        <v>8602</v>
      </c>
      <c r="X632" s="1">
        <v>200.0</v>
      </c>
      <c r="Z632" s="1" t="s">
        <v>8574</v>
      </c>
      <c r="AE632" s="6" t="s">
        <v>8603</v>
      </c>
      <c r="AG632" s="5">
        <v>44532.0</v>
      </c>
    </row>
    <row r="633">
      <c r="A633" s="1">
        <v>460241.0</v>
      </c>
      <c r="B633" s="1">
        <v>0.0</v>
      </c>
      <c r="C633" s="1" t="s">
        <v>8604</v>
      </c>
      <c r="D633" s="1" t="s">
        <v>5068</v>
      </c>
      <c r="F633" s="1" t="s">
        <v>8605</v>
      </c>
      <c r="G633" s="1" t="s">
        <v>26</v>
      </c>
      <c r="H633" s="1" t="s">
        <v>5102</v>
      </c>
      <c r="I633" s="1" t="s">
        <v>18</v>
      </c>
      <c r="J633" s="1" t="s">
        <v>53</v>
      </c>
      <c r="K633" s="6" t="s">
        <v>8606</v>
      </c>
      <c r="L633" s="6" t="s">
        <v>8607</v>
      </c>
      <c r="M633" s="1" t="s">
        <v>8608</v>
      </c>
      <c r="O633" s="5">
        <v>36595.0</v>
      </c>
      <c r="P633" s="5">
        <v>36579.0</v>
      </c>
      <c r="R633" s="1" t="b">
        <v>0</v>
      </c>
      <c r="T633" s="1">
        <v>460235.0</v>
      </c>
      <c r="U633" s="1" t="b">
        <v>0</v>
      </c>
      <c r="V633" s="1" t="s">
        <v>5513</v>
      </c>
      <c r="W633" s="1" t="s">
        <v>8609</v>
      </c>
      <c r="X633" s="1">
        <v>200.0</v>
      </c>
      <c r="Z633" s="1" t="s">
        <v>8574</v>
      </c>
      <c r="AE633" s="6" t="s">
        <v>8610</v>
      </c>
      <c r="AG633" s="5">
        <v>44532.0</v>
      </c>
    </row>
    <row r="634">
      <c r="A634" s="1">
        <v>460243.0</v>
      </c>
      <c r="B634" s="1">
        <v>0.0</v>
      </c>
      <c r="C634" s="1" t="s">
        <v>778</v>
      </c>
      <c r="D634" s="1" t="s">
        <v>5068</v>
      </c>
      <c r="E634" s="5">
        <v>44561.0</v>
      </c>
      <c r="F634" s="1" t="s">
        <v>779</v>
      </c>
      <c r="G634" s="1" t="s">
        <v>26</v>
      </c>
      <c r="H634" s="1" t="s">
        <v>5102</v>
      </c>
      <c r="I634" s="1" t="s">
        <v>18</v>
      </c>
      <c r="J634" s="1" t="s">
        <v>53</v>
      </c>
      <c r="K634" s="6" t="s">
        <v>8611</v>
      </c>
      <c r="L634" s="6" t="s">
        <v>8612</v>
      </c>
      <c r="M634" s="1" t="s">
        <v>8613</v>
      </c>
      <c r="R634" s="1" t="b">
        <v>0</v>
      </c>
      <c r="T634" s="1">
        <v>170936.0</v>
      </c>
      <c r="U634" s="1" t="b">
        <v>0</v>
      </c>
      <c r="V634" s="1" t="s">
        <v>8614</v>
      </c>
      <c r="W634" s="1" t="s">
        <v>8615</v>
      </c>
      <c r="X634" s="1">
        <v>200.0</v>
      </c>
      <c r="Z634" s="1" t="s">
        <v>8616</v>
      </c>
      <c r="AE634" s="6" t="s">
        <v>8617</v>
      </c>
      <c r="AG634" s="5">
        <v>44532.0</v>
      </c>
    </row>
    <row r="635">
      <c r="A635" s="1">
        <v>460244.0</v>
      </c>
      <c r="B635" s="1">
        <v>0.0</v>
      </c>
      <c r="C635" s="1" t="s">
        <v>8618</v>
      </c>
      <c r="D635" s="1" t="s">
        <v>5068</v>
      </c>
      <c r="F635" s="1" t="s">
        <v>8619</v>
      </c>
      <c r="G635" s="1" t="s">
        <v>26</v>
      </c>
      <c r="H635" s="1" t="s">
        <v>5102</v>
      </c>
      <c r="I635" s="1" t="s">
        <v>18</v>
      </c>
      <c r="J635" s="1" t="s">
        <v>53</v>
      </c>
      <c r="K635" s="6" t="s">
        <v>8620</v>
      </c>
      <c r="L635" s="6" t="s">
        <v>8621</v>
      </c>
      <c r="M635" s="1" t="s">
        <v>8622</v>
      </c>
      <c r="R635" s="1" t="b">
        <v>0</v>
      </c>
      <c r="T635" s="1">
        <v>170936.0</v>
      </c>
      <c r="U635" s="1" t="b">
        <v>0</v>
      </c>
      <c r="V635" s="1" t="s">
        <v>8623</v>
      </c>
      <c r="W635" s="1" t="s">
        <v>8624</v>
      </c>
      <c r="X635" s="1">
        <v>200.0</v>
      </c>
      <c r="Z635" s="1" t="s">
        <v>8616</v>
      </c>
      <c r="AE635" s="6" t="s">
        <v>8625</v>
      </c>
      <c r="AG635" s="5">
        <v>44532.0</v>
      </c>
    </row>
    <row r="636">
      <c r="A636" s="1">
        <v>460245.0</v>
      </c>
      <c r="B636" s="1">
        <v>0.0</v>
      </c>
      <c r="C636" s="1" t="s">
        <v>8626</v>
      </c>
      <c r="D636" s="1" t="s">
        <v>5068</v>
      </c>
      <c r="F636" s="1" t="s">
        <v>8627</v>
      </c>
      <c r="G636" s="1" t="s">
        <v>26</v>
      </c>
      <c r="H636" s="1" t="s">
        <v>5102</v>
      </c>
      <c r="I636" s="1" t="s">
        <v>18</v>
      </c>
      <c r="J636" s="1" t="s">
        <v>53</v>
      </c>
      <c r="K636" s="6" t="s">
        <v>8628</v>
      </c>
      <c r="L636" s="6" t="s">
        <v>8629</v>
      </c>
      <c r="M636" s="1" t="s">
        <v>8630</v>
      </c>
      <c r="R636" s="1" t="b">
        <v>0</v>
      </c>
      <c r="T636" s="1">
        <v>170936.0</v>
      </c>
      <c r="U636" s="1" t="b">
        <v>0</v>
      </c>
      <c r="V636" s="1" t="s">
        <v>8631</v>
      </c>
      <c r="W636" s="1" t="s">
        <v>8632</v>
      </c>
      <c r="X636" s="1">
        <v>200.0</v>
      </c>
      <c r="Z636" s="1" t="s">
        <v>8616</v>
      </c>
      <c r="AE636" s="6" t="s">
        <v>8633</v>
      </c>
      <c r="AG636" s="5">
        <v>44532.0</v>
      </c>
    </row>
    <row r="637">
      <c r="A637" s="1">
        <v>460246.0</v>
      </c>
      <c r="B637" s="1">
        <v>0.0</v>
      </c>
      <c r="C637" s="1" t="s">
        <v>8634</v>
      </c>
      <c r="D637" s="1" t="s">
        <v>5068</v>
      </c>
      <c r="F637" s="1" t="s">
        <v>8635</v>
      </c>
      <c r="G637" s="1" t="s">
        <v>26</v>
      </c>
      <c r="H637" s="1" t="s">
        <v>5102</v>
      </c>
      <c r="I637" s="1" t="s">
        <v>18</v>
      </c>
      <c r="J637" s="1" t="s">
        <v>53</v>
      </c>
      <c r="K637" s="1" t="s">
        <v>5072</v>
      </c>
      <c r="L637" s="6" t="s">
        <v>8636</v>
      </c>
      <c r="M637" s="1" t="s">
        <v>8637</v>
      </c>
      <c r="R637" s="1" t="b">
        <v>0</v>
      </c>
      <c r="T637" s="1">
        <v>170936.0</v>
      </c>
      <c r="U637" s="1" t="b">
        <v>0</v>
      </c>
      <c r="V637" s="1" t="s">
        <v>8638</v>
      </c>
      <c r="X637" s="1">
        <v>408.0</v>
      </c>
      <c r="Z637" s="1" t="s">
        <v>8616</v>
      </c>
      <c r="AE637" s="6" t="s">
        <v>8639</v>
      </c>
      <c r="AG637" s="5">
        <v>44532.0</v>
      </c>
    </row>
    <row r="638">
      <c r="A638" s="1">
        <v>460247.0</v>
      </c>
      <c r="B638" s="1">
        <v>0.0</v>
      </c>
      <c r="C638" s="1" t="s">
        <v>8640</v>
      </c>
      <c r="D638" s="1" t="s">
        <v>5068</v>
      </c>
      <c r="F638" s="1" t="s">
        <v>8641</v>
      </c>
      <c r="G638" s="1" t="s">
        <v>26</v>
      </c>
      <c r="H638" s="1" t="s">
        <v>5102</v>
      </c>
      <c r="I638" s="1" t="s">
        <v>18</v>
      </c>
      <c r="J638" s="1" t="s">
        <v>53</v>
      </c>
      <c r="K638" s="6" t="s">
        <v>8642</v>
      </c>
      <c r="L638" s="6" t="s">
        <v>8643</v>
      </c>
      <c r="M638" s="1" t="s">
        <v>8644</v>
      </c>
      <c r="O638" s="5">
        <v>37001.0</v>
      </c>
      <c r="P638" s="5">
        <v>36980.0</v>
      </c>
      <c r="R638" s="1" t="b">
        <v>0</v>
      </c>
      <c r="T638" s="1">
        <v>460238.0</v>
      </c>
      <c r="U638" s="1" t="b">
        <v>0</v>
      </c>
      <c r="V638" s="1" t="s">
        <v>8645</v>
      </c>
      <c r="W638" s="1" t="s">
        <v>8646</v>
      </c>
      <c r="X638" s="1">
        <v>200.0</v>
      </c>
      <c r="Z638" s="1" t="s">
        <v>8589</v>
      </c>
      <c r="AE638" s="6" t="s">
        <v>8647</v>
      </c>
      <c r="AG638" s="5">
        <v>44532.0</v>
      </c>
    </row>
    <row r="639">
      <c r="A639" s="1">
        <v>460248.0</v>
      </c>
      <c r="B639" s="1">
        <v>0.0</v>
      </c>
      <c r="C639" s="1" t="s">
        <v>8648</v>
      </c>
      <c r="D639" s="1" t="s">
        <v>5068</v>
      </c>
      <c r="F639" s="1" t="s">
        <v>8649</v>
      </c>
      <c r="G639" s="1" t="s">
        <v>5368</v>
      </c>
      <c r="H639" s="1" t="s">
        <v>5102</v>
      </c>
      <c r="I639" s="1" t="s">
        <v>18</v>
      </c>
      <c r="J639" s="1" t="s">
        <v>53</v>
      </c>
      <c r="K639" s="6" t="s">
        <v>8650</v>
      </c>
      <c r="L639" s="6" t="s">
        <v>8651</v>
      </c>
      <c r="M639" s="1" t="s">
        <v>8652</v>
      </c>
      <c r="O639" s="5">
        <v>31365.0</v>
      </c>
      <c r="P639" s="5">
        <v>31349.0</v>
      </c>
      <c r="R639" s="1" t="b">
        <v>0</v>
      </c>
      <c r="T639" s="1">
        <v>460238.0</v>
      </c>
      <c r="U639" s="1" t="b">
        <v>0</v>
      </c>
      <c r="V639" s="1" t="s">
        <v>8653</v>
      </c>
      <c r="W639" s="1" t="s">
        <v>8654</v>
      </c>
      <c r="X639" s="1">
        <v>200.0</v>
      </c>
      <c r="Z639" s="1" t="s">
        <v>8589</v>
      </c>
      <c r="AE639" s="6" t="s">
        <v>8655</v>
      </c>
      <c r="AG639" s="5">
        <v>44532.0</v>
      </c>
    </row>
    <row r="640">
      <c r="A640" s="1">
        <v>462055.0</v>
      </c>
      <c r="B640" s="1">
        <v>0.0</v>
      </c>
      <c r="C640" s="1" t="s">
        <v>8656</v>
      </c>
      <c r="D640" s="1" t="s">
        <v>5068</v>
      </c>
      <c r="F640" s="1" t="s">
        <v>8657</v>
      </c>
      <c r="G640" s="1" t="s">
        <v>5122</v>
      </c>
      <c r="H640" s="1" t="s">
        <v>5102</v>
      </c>
      <c r="I640" s="1" t="s">
        <v>18</v>
      </c>
      <c r="J640" s="1" t="s">
        <v>66</v>
      </c>
      <c r="K640" s="6" t="s">
        <v>8658</v>
      </c>
      <c r="L640" s="6" t="s">
        <v>8659</v>
      </c>
      <c r="M640" s="1" t="s">
        <v>8660</v>
      </c>
      <c r="O640" s="5">
        <v>36231.0</v>
      </c>
      <c r="P640" s="5">
        <v>36151.0</v>
      </c>
      <c r="R640" s="1" t="b">
        <v>0</v>
      </c>
      <c r="U640" s="1" t="b">
        <v>0</v>
      </c>
      <c r="V640" s="1" t="s">
        <v>8661</v>
      </c>
      <c r="W640" s="1" t="s">
        <v>8662</v>
      </c>
      <c r="X640" s="1">
        <v>200.0</v>
      </c>
      <c r="Y640" s="1" t="s">
        <v>5075</v>
      </c>
      <c r="AE640" s="6" t="s">
        <v>8663</v>
      </c>
      <c r="AG640" s="5">
        <v>44544.0</v>
      </c>
    </row>
    <row r="641">
      <c r="A641" s="1">
        <v>462086.0</v>
      </c>
      <c r="B641" s="1">
        <v>0.0</v>
      </c>
      <c r="C641" s="1" t="s">
        <v>7080</v>
      </c>
      <c r="D641" s="1" t="s">
        <v>5068</v>
      </c>
      <c r="F641" s="1" t="s">
        <v>8664</v>
      </c>
      <c r="G641" s="1" t="s">
        <v>5122</v>
      </c>
      <c r="H641" s="1" t="s">
        <v>5102</v>
      </c>
      <c r="I641" s="1" t="s">
        <v>18</v>
      </c>
      <c r="J641" s="1" t="s">
        <v>66</v>
      </c>
      <c r="K641" s="6" t="s">
        <v>8665</v>
      </c>
      <c r="L641" s="6" t="s">
        <v>8666</v>
      </c>
      <c r="M641" s="1" t="s">
        <v>8667</v>
      </c>
      <c r="O641" s="5">
        <v>38890.0</v>
      </c>
      <c r="P641" s="5">
        <v>38899.0</v>
      </c>
      <c r="R641" s="1" t="b">
        <v>0</v>
      </c>
      <c r="U641" s="1" t="b">
        <v>0</v>
      </c>
      <c r="V641" s="1" t="s">
        <v>7789</v>
      </c>
      <c r="W641" s="1" t="s">
        <v>8668</v>
      </c>
      <c r="X641" s="1">
        <v>200.0</v>
      </c>
      <c r="Y641" s="1" t="s">
        <v>5075</v>
      </c>
      <c r="AE641" s="6" t="s">
        <v>8669</v>
      </c>
      <c r="AG641" s="5">
        <v>44544.0</v>
      </c>
    </row>
    <row r="642">
      <c r="A642" s="1">
        <v>462166.0</v>
      </c>
      <c r="B642" s="1">
        <v>0.0</v>
      </c>
      <c r="C642" s="1" t="s">
        <v>8670</v>
      </c>
      <c r="D642" s="1" t="s">
        <v>5068</v>
      </c>
      <c r="F642" s="1" t="s">
        <v>8671</v>
      </c>
      <c r="G642" s="1" t="s">
        <v>5122</v>
      </c>
      <c r="H642" s="1" t="s">
        <v>5102</v>
      </c>
      <c r="I642" s="1" t="s">
        <v>18</v>
      </c>
      <c r="J642" s="1" t="s">
        <v>66</v>
      </c>
      <c r="K642" s="1" t="s">
        <v>5072</v>
      </c>
      <c r="L642" s="6" t="s">
        <v>8672</v>
      </c>
      <c r="M642" s="1" t="s">
        <v>8673</v>
      </c>
      <c r="R642" s="1" t="b">
        <v>0</v>
      </c>
      <c r="T642" s="1">
        <v>462055.0</v>
      </c>
      <c r="U642" s="1" t="b">
        <v>0</v>
      </c>
      <c r="V642" s="1" t="s">
        <v>8674</v>
      </c>
      <c r="X642" s="1">
        <v>200.0</v>
      </c>
      <c r="Y642" s="1" t="s">
        <v>5075</v>
      </c>
      <c r="Z642" s="1" t="s">
        <v>8657</v>
      </c>
      <c r="AE642" s="6" t="s">
        <v>8675</v>
      </c>
      <c r="AG642" s="5">
        <v>44544.0</v>
      </c>
    </row>
    <row r="643">
      <c r="A643" s="1">
        <v>462176.0</v>
      </c>
      <c r="B643" s="1">
        <v>0.0</v>
      </c>
      <c r="C643" s="1" t="s">
        <v>8676</v>
      </c>
      <c r="D643" s="1" t="s">
        <v>5068</v>
      </c>
      <c r="F643" s="1" t="s">
        <v>8677</v>
      </c>
      <c r="G643" s="1" t="s">
        <v>26</v>
      </c>
      <c r="H643" s="1" t="s">
        <v>5102</v>
      </c>
      <c r="I643" s="1" t="s">
        <v>18</v>
      </c>
      <c r="J643" s="1" t="s">
        <v>66</v>
      </c>
      <c r="K643" s="6" t="s">
        <v>8678</v>
      </c>
      <c r="L643" s="6" t="s">
        <v>8679</v>
      </c>
      <c r="M643" s="1" t="s">
        <v>8680</v>
      </c>
      <c r="P643" s="5">
        <v>37158.0</v>
      </c>
      <c r="R643" s="1" t="b">
        <v>0</v>
      </c>
      <c r="T643" s="1">
        <v>4322.0</v>
      </c>
      <c r="U643" s="1" t="b">
        <v>0</v>
      </c>
      <c r="V643" s="1" t="s">
        <v>6143</v>
      </c>
      <c r="W643" s="1" t="s">
        <v>8681</v>
      </c>
      <c r="X643" s="1">
        <v>200.0</v>
      </c>
      <c r="Z643" s="1" t="s">
        <v>6354</v>
      </c>
      <c r="AE643" s="6" t="s">
        <v>8682</v>
      </c>
      <c r="AG643" s="5">
        <v>44544.0</v>
      </c>
    </row>
    <row r="644">
      <c r="A644" s="1">
        <v>462356.0</v>
      </c>
      <c r="B644" s="1">
        <v>0.0</v>
      </c>
      <c r="C644" s="1" t="s">
        <v>8683</v>
      </c>
      <c r="D644" s="1" t="s">
        <v>5068</v>
      </c>
      <c r="F644" s="1" t="s">
        <v>8684</v>
      </c>
      <c r="G644" s="1" t="s">
        <v>26</v>
      </c>
      <c r="H644" s="1" t="s">
        <v>5419</v>
      </c>
      <c r="I644" s="1" t="s">
        <v>18</v>
      </c>
      <c r="J644" s="1" t="s">
        <v>21</v>
      </c>
      <c r="K644" s="6" t="s">
        <v>8685</v>
      </c>
      <c r="L644" s="6" t="s">
        <v>8686</v>
      </c>
      <c r="M644" s="1" t="s">
        <v>8687</v>
      </c>
      <c r="O644" s="5">
        <v>44531.0</v>
      </c>
      <c r="P644" s="5">
        <v>44531.0</v>
      </c>
      <c r="R644" s="1" t="b">
        <v>0</v>
      </c>
      <c r="U644" s="1" t="b">
        <v>1</v>
      </c>
      <c r="V644" s="1" t="s">
        <v>5546</v>
      </c>
      <c r="W644" s="1" t="s">
        <v>8688</v>
      </c>
      <c r="X644" s="1">
        <v>200.0</v>
      </c>
      <c r="Y644" s="1" t="s">
        <v>5142</v>
      </c>
      <c r="AC644" s="1" t="s">
        <v>5077</v>
      </c>
      <c r="AD644" s="1" t="s">
        <v>5078</v>
      </c>
      <c r="AG644" s="5">
        <v>44547.0</v>
      </c>
      <c r="AH644" s="1">
        <v>330499.0</v>
      </c>
    </row>
    <row r="645">
      <c r="A645" s="1">
        <v>463234.0</v>
      </c>
      <c r="B645" s="1">
        <v>0.0</v>
      </c>
      <c r="C645" s="1" t="s">
        <v>8689</v>
      </c>
      <c r="D645" s="1" t="s">
        <v>5068</v>
      </c>
      <c r="F645" s="1" t="s">
        <v>8690</v>
      </c>
      <c r="G645" s="1" t="s">
        <v>5136</v>
      </c>
      <c r="H645" s="1" t="s">
        <v>5102</v>
      </c>
      <c r="I645" s="1" t="s">
        <v>18</v>
      </c>
      <c r="J645" s="1" t="s">
        <v>5071</v>
      </c>
      <c r="K645" s="6" t="s">
        <v>8691</v>
      </c>
      <c r="L645" s="6" t="s">
        <v>8692</v>
      </c>
      <c r="M645" s="1" t="s">
        <v>8693</v>
      </c>
      <c r="P645" s="5">
        <v>42009.0</v>
      </c>
      <c r="R645" s="1" t="b">
        <v>0</v>
      </c>
      <c r="T645" s="1">
        <v>197915.0</v>
      </c>
      <c r="U645" s="1" t="b">
        <v>0</v>
      </c>
      <c r="V645" s="1" t="s">
        <v>8694</v>
      </c>
      <c r="W645" s="1" t="s">
        <v>8695</v>
      </c>
      <c r="X645" s="1">
        <v>200.0</v>
      </c>
      <c r="Z645" s="1" t="s">
        <v>440</v>
      </c>
      <c r="AE645" s="6" t="s">
        <v>8696</v>
      </c>
      <c r="AG645" s="5">
        <v>44552.0</v>
      </c>
    </row>
    <row r="646">
      <c r="A646" s="1">
        <v>463235.0</v>
      </c>
      <c r="B646" s="1">
        <v>0.0</v>
      </c>
      <c r="C646" s="1" t="s">
        <v>8697</v>
      </c>
      <c r="D646" s="1" t="s">
        <v>5081</v>
      </c>
      <c r="F646" s="1" t="s">
        <v>8698</v>
      </c>
      <c r="G646" s="1" t="s">
        <v>5136</v>
      </c>
      <c r="H646" s="1" t="s">
        <v>5102</v>
      </c>
      <c r="I646" s="1" t="s">
        <v>18</v>
      </c>
      <c r="J646" s="1" t="s">
        <v>5071</v>
      </c>
      <c r="K646" s="6" t="s">
        <v>8699</v>
      </c>
      <c r="L646" s="6" t="s">
        <v>8700</v>
      </c>
      <c r="M646" s="1" t="s">
        <v>8701</v>
      </c>
      <c r="P646" s="5">
        <v>42009.0</v>
      </c>
      <c r="R646" s="1" t="b">
        <v>0</v>
      </c>
      <c r="T646" s="1">
        <v>197915.0</v>
      </c>
      <c r="U646" s="1" t="b">
        <v>0</v>
      </c>
      <c r="V646" s="1" t="s">
        <v>8694</v>
      </c>
      <c r="W646" s="1" t="s">
        <v>8695</v>
      </c>
      <c r="X646" s="1">
        <v>200.0</v>
      </c>
      <c r="Z646" s="1" t="s">
        <v>440</v>
      </c>
      <c r="AA646" s="1" t="s">
        <v>8690</v>
      </c>
      <c r="AE646" s="6" t="s">
        <v>8702</v>
      </c>
      <c r="AG646" s="5">
        <v>44552.0</v>
      </c>
    </row>
    <row r="647">
      <c r="A647" s="1">
        <v>463236.0</v>
      </c>
      <c r="B647" s="1">
        <v>0.0</v>
      </c>
      <c r="C647" s="1" t="s">
        <v>8703</v>
      </c>
      <c r="D647" s="1" t="s">
        <v>5068</v>
      </c>
      <c r="F647" s="1" t="s">
        <v>8704</v>
      </c>
      <c r="G647" s="1" t="s">
        <v>5136</v>
      </c>
      <c r="H647" s="1" t="s">
        <v>5102</v>
      </c>
      <c r="I647" s="1" t="s">
        <v>18</v>
      </c>
      <c r="J647" s="1" t="s">
        <v>5071</v>
      </c>
      <c r="K647" s="6" t="s">
        <v>8705</v>
      </c>
      <c r="L647" s="6" t="s">
        <v>8706</v>
      </c>
      <c r="M647" s="1" t="s">
        <v>8707</v>
      </c>
      <c r="P647" s="5">
        <v>42009.0</v>
      </c>
      <c r="R647" s="1" t="b">
        <v>0</v>
      </c>
      <c r="T647" s="1">
        <v>197915.0</v>
      </c>
      <c r="U647" s="1" t="b">
        <v>0</v>
      </c>
      <c r="V647" s="1" t="s">
        <v>8708</v>
      </c>
      <c r="W647" s="1" t="s">
        <v>8709</v>
      </c>
      <c r="X647" s="1">
        <v>200.0</v>
      </c>
      <c r="Z647" s="1" t="s">
        <v>440</v>
      </c>
      <c r="AE647" s="6" t="s">
        <v>8710</v>
      </c>
      <c r="AG647" s="5">
        <v>44552.0</v>
      </c>
    </row>
    <row r="648">
      <c r="A648" s="1">
        <v>463237.0</v>
      </c>
      <c r="B648" s="1">
        <v>0.0</v>
      </c>
      <c r="C648" s="1" t="s">
        <v>8711</v>
      </c>
      <c r="D648" s="1" t="s">
        <v>5081</v>
      </c>
      <c r="F648" s="1" t="s">
        <v>8712</v>
      </c>
      <c r="G648" s="1" t="s">
        <v>5136</v>
      </c>
      <c r="H648" s="1" t="s">
        <v>5102</v>
      </c>
      <c r="I648" s="1" t="s">
        <v>18</v>
      </c>
      <c r="J648" s="1" t="s">
        <v>5071</v>
      </c>
      <c r="K648" s="6" t="s">
        <v>8713</v>
      </c>
      <c r="L648" s="6" t="s">
        <v>8714</v>
      </c>
      <c r="M648" s="1" t="s">
        <v>8715</v>
      </c>
      <c r="P648" s="5">
        <v>42009.0</v>
      </c>
      <c r="R648" s="1" t="b">
        <v>0</v>
      </c>
      <c r="T648" s="1">
        <v>197915.0</v>
      </c>
      <c r="U648" s="1" t="b">
        <v>0</v>
      </c>
      <c r="V648" s="1" t="s">
        <v>8708</v>
      </c>
      <c r="W648" s="1" t="s">
        <v>8709</v>
      </c>
      <c r="X648" s="1">
        <v>200.0</v>
      </c>
      <c r="Z648" s="1" t="s">
        <v>440</v>
      </c>
      <c r="AA648" s="1" t="s">
        <v>8704</v>
      </c>
      <c r="AE648" s="6" t="s">
        <v>8716</v>
      </c>
      <c r="AG648" s="5">
        <v>44552.0</v>
      </c>
    </row>
    <row r="649">
      <c r="A649" s="1">
        <v>463238.0</v>
      </c>
      <c r="B649" s="1">
        <v>0.0</v>
      </c>
      <c r="C649" s="1" t="s">
        <v>8717</v>
      </c>
      <c r="D649" s="1" t="s">
        <v>5068</v>
      </c>
      <c r="F649" s="1" t="s">
        <v>8718</v>
      </c>
      <c r="G649" s="1" t="s">
        <v>26</v>
      </c>
      <c r="H649" s="1" t="s">
        <v>5102</v>
      </c>
      <c r="I649" s="1" t="s">
        <v>18</v>
      </c>
      <c r="J649" s="1" t="s">
        <v>5071</v>
      </c>
      <c r="K649" s="6" t="s">
        <v>8719</v>
      </c>
      <c r="L649" s="6" t="s">
        <v>8720</v>
      </c>
      <c r="M649" s="1" t="s">
        <v>8721</v>
      </c>
      <c r="P649" s="5">
        <v>38798.0</v>
      </c>
      <c r="R649" s="1" t="b">
        <v>0</v>
      </c>
      <c r="T649" s="1">
        <v>82.0</v>
      </c>
      <c r="U649" s="1" t="b">
        <v>0</v>
      </c>
      <c r="V649" s="1" t="s">
        <v>8722</v>
      </c>
      <c r="W649" s="1" t="s">
        <v>8723</v>
      </c>
      <c r="X649" s="1">
        <v>200.0</v>
      </c>
      <c r="Y649" s="1" t="s">
        <v>5075</v>
      </c>
      <c r="Z649" s="1" t="s">
        <v>6145</v>
      </c>
      <c r="AE649" s="6" t="s">
        <v>8724</v>
      </c>
      <c r="AG649" s="5">
        <v>44552.0</v>
      </c>
    </row>
    <row r="650">
      <c r="A650" s="1">
        <v>463239.0</v>
      </c>
      <c r="B650" s="1">
        <v>0.0</v>
      </c>
      <c r="C650" s="1" t="s">
        <v>8725</v>
      </c>
      <c r="D650" s="1" t="s">
        <v>5081</v>
      </c>
      <c r="F650" s="1" t="s">
        <v>8726</v>
      </c>
      <c r="G650" s="1" t="s">
        <v>26</v>
      </c>
      <c r="H650" s="1" t="s">
        <v>5102</v>
      </c>
      <c r="I650" s="1" t="s">
        <v>18</v>
      </c>
      <c r="J650" s="1" t="s">
        <v>5071</v>
      </c>
      <c r="K650" s="6" t="s">
        <v>8727</v>
      </c>
      <c r="L650" s="6" t="s">
        <v>8728</v>
      </c>
      <c r="M650" s="1" t="s">
        <v>8729</v>
      </c>
      <c r="P650" s="5">
        <v>38798.0</v>
      </c>
      <c r="R650" s="1" t="b">
        <v>0</v>
      </c>
      <c r="T650" s="1">
        <v>82.0</v>
      </c>
      <c r="U650" s="1" t="b">
        <v>0</v>
      </c>
      <c r="V650" s="1" t="s">
        <v>8722</v>
      </c>
      <c r="W650" s="1" t="s">
        <v>8723</v>
      </c>
      <c r="X650" s="1">
        <v>200.0</v>
      </c>
      <c r="Z650" s="1" t="s">
        <v>6145</v>
      </c>
      <c r="AA650" s="1" t="s">
        <v>8718</v>
      </c>
      <c r="AE650" s="6" t="s">
        <v>8730</v>
      </c>
      <c r="AG650" s="5">
        <v>44552.0</v>
      </c>
    </row>
    <row r="651">
      <c r="A651" s="1">
        <v>463240.0</v>
      </c>
      <c r="B651" s="1">
        <v>0.0</v>
      </c>
      <c r="C651" s="1" t="s">
        <v>8731</v>
      </c>
      <c r="D651" s="1" t="s">
        <v>5068</v>
      </c>
      <c r="F651" s="1" t="s">
        <v>8732</v>
      </c>
      <c r="G651" s="1" t="s">
        <v>26</v>
      </c>
      <c r="H651" s="1" t="s">
        <v>5102</v>
      </c>
      <c r="I651" s="1" t="s">
        <v>18</v>
      </c>
      <c r="J651" s="1" t="s">
        <v>5071</v>
      </c>
      <c r="K651" s="6" t="s">
        <v>8733</v>
      </c>
      <c r="L651" s="6" t="s">
        <v>8734</v>
      </c>
      <c r="M651" s="1" t="s">
        <v>8735</v>
      </c>
      <c r="P651" s="5">
        <v>38798.0</v>
      </c>
      <c r="R651" s="1" t="b">
        <v>0</v>
      </c>
      <c r="T651" s="1">
        <v>82.0</v>
      </c>
      <c r="U651" s="1" t="b">
        <v>0</v>
      </c>
      <c r="V651" s="1" t="s">
        <v>8736</v>
      </c>
      <c r="W651" s="1" t="s">
        <v>8737</v>
      </c>
      <c r="X651" s="1">
        <v>200.0</v>
      </c>
      <c r="Y651" s="1" t="s">
        <v>5075</v>
      </c>
      <c r="Z651" s="1" t="s">
        <v>6145</v>
      </c>
      <c r="AE651" s="6" t="s">
        <v>8738</v>
      </c>
      <c r="AG651" s="5">
        <v>44552.0</v>
      </c>
    </row>
    <row r="652">
      <c r="A652" s="1">
        <v>463241.0</v>
      </c>
      <c r="B652" s="1">
        <v>0.0</v>
      </c>
      <c r="C652" s="1" t="s">
        <v>8739</v>
      </c>
      <c r="D652" s="1" t="s">
        <v>5081</v>
      </c>
      <c r="F652" s="1" t="s">
        <v>8740</v>
      </c>
      <c r="G652" s="1" t="s">
        <v>26</v>
      </c>
      <c r="H652" s="1" t="s">
        <v>5102</v>
      </c>
      <c r="I652" s="1" t="s">
        <v>18</v>
      </c>
      <c r="J652" s="1" t="s">
        <v>5071</v>
      </c>
      <c r="K652" s="6" t="s">
        <v>8741</v>
      </c>
      <c r="L652" s="6" t="s">
        <v>8742</v>
      </c>
      <c r="M652" s="1" t="s">
        <v>8743</v>
      </c>
      <c r="P652" s="5">
        <v>38798.0</v>
      </c>
      <c r="R652" s="1" t="b">
        <v>0</v>
      </c>
      <c r="T652" s="1">
        <v>82.0</v>
      </c>
      <c r="U652" s="1" t="b">
        <v>0</v>
      </c>
      <c r="V652" s="1" t="s">
        <v>8736</v>
      </c>
      <c r="W652" s="1" t="s">
        <v>8737</v>
      </c>
      <c r="X652" s="1">
        <v>200.0</v>
      </c>
      <c r="Z652" s="1" t="s">
        <v>6145</v>
      </c>
      <c r="AA652" s="1" t="s">
        <v>8732</v>
      </c>
      <c r="AE652" s="6" t="s">
        <v>8744</v>
      </c>
      <c r="AG652" s="5">
        <v>44552.0</v>
      </c>
    </row>
    <row r="653">
      <c r="A653" s="1">
        <v>463324.0</v>
      </c>
      <c r="B653" s="1">
        <v>0.0</v>
      </c>
      <c r="C653" s="1" t="s">
        <v>8745</v>
      </c>
      <c r="D653" s="1" t="s">
        <v>5068</v>
      </c>
      <c r="F653" s="1" t="s">
        <v>8746</v>
      </c>
      <c r="G653" s="1" t="s">
        <v>26</v>
      </c>
      <c r="H653" s="1" t="s">
        <v>5102</v>
      </c>
      <c r="I653" s="1" t="s">
        <v>18</v>
      </c>
      <c r="J653" s="1" t="s">
        <v>5071</v>
      </c>
      <c r="K653" s="6" t="s">
        <v>8747</v>
      </c>
      <c r="L653" s="6" t="s">
        <v>8748</v>
      </c>
      <c r="M653" s="1" t="s">
        <v>8749</v>
      </c>
      <c r="P653" s="5">
        <v>42475.0</v>
      </c>
      <c r="R653" s="1" t="b">
        <v>0</v>
      </c>
      <c r="T653" s="1">
        <v>197915.0</v>
      </c>
      <c r="U653" s="1" t="b">
        <v>0</v>
      </c>
      <c r="V653" s="1" t="s">
        <v>8750</v>
      </c>
      <c r="W653" s="1" t="s">
        <v>8751</v>
      </c>
      <c r="X653" s="1">
        <v>200.0</v>
      </c>
      <c r="Y653" s="1" t="s">
        <v>5075</v>
      </c>
      <c r="Z653" s="1" t="s">
        <v>440</v>
      </c>
      <c r="AE653" s="6" t="s">
        <v>8752</v>
      </c>
      <c r="AG653" s="5">
        <v>44552.0</v>
      </c>
    </row>
    <row r="654">
      <c r="A654" s="1">
        <v>463325.0</v>
      </c>
      <c r="B654" s="1">
        <v>0.0</v>
      </c>
      <c r="C654" s="1" t="s">
        <v>8753</v>
      </c>
      <c r="D654" s="1" t="s">
        <v>5081</v>
      </c>
      <c r="F654" s="1" t="s">
        <v>8754</v>
      </c>
      <c r="G654" s="1" t="s">
        <v>26</v>
      </c>
      <c r="H654" s="1" t="s">
        <v>5102</v>
      </c>
      <c r="I654" s="1" t="s">
        <v>18</v>
      </c>
      <c r="J654" s="1" t="s">
        <v>5071</v>
      </c>
      <c r="K654" s="6" t="s">
        <v>8755</v>
      </c>
      <c r="L654" s="6" t="s">
        <v>8756</v>
      </c>
      <c r="M654" s="1" t="s">
        <v>8757</v>
      </c>
      <c r="P654" s="5">
        <v>42475.0</v>
      </c>
      <c r="R654" s="1" t="b">
        <v>0</v>
      </c>
      <c r="T654" s="1">
        <v>197915.0</v>
      </c>
      <c r="U654" s="1" t="b">
        <v>0</v>
      </c>
      <c r="V654" s="1" t="s">
        <v>8750</v>
      </c>
      <c r="W654" s="1" t="s">
        <v>8751</v>
      </c>
      <c r="X654" s="1">
        <v>200.0</v>
      </c>
      <c r="Z654" s="1" t="s">
        <v>440</v>
      </c>
      <c r="AA654" s="1" t="s">
        <v>8746</v>
      </c>
      <c r="AE654" s="6" t="s">
        <v>8758</v>
      </c>
      <c r="AG654" s="5">
        <v>44552.0</v>
      </c>
    </row>
    <row r="655">
      <c r="A655" s="1">
        <v>463378.0</v>
      </c>
      <c r="B655" s="1">
        <v>0.0</v>
      </c>
      <c r="C655" s="1" t="s">
        <v>8759</v>
      </c>
      <c r="D655" s="1" t="s">
        <v>5068</v>
      </c>
      <c r="F655" s="1" t="s">
        <v>8760</v>
      </c>
      <c r="G655" s="1" t="s">
        <v>5136</v>
      </c>
      <c r="H655" s="1" t="s">
        <v>5102</v>
      </c>
      <c r="I655" s="1" t="s">
        <v>18</v>
      </c>
      <c r="J655" s="1" t="s">
        <v>5071</v>
      </c>
      <c r="K655" s="6" t="s">
        <v>8761</v>
      </c>
      <c r="L655" s="6" t="s">
        <v>8762</v>
      </c>
      <c r="M655" s="1" t="s">
        <v>8763</v>
      </c>
      <c r="P655" s="5">
        <v>32484.0</v>
      </c>
      <c r="R655" s="1" t="b">
        <v>0</v>
      </c>
      <c r="T655" s="1">
        <v>4272.0</v>
      </c>
      <c r="U655" s="1" t="b">
        <v>0</v>
      </c>
      <c r="V655" s="1" t="s">
        <v>8764</v>
      </c>
      <c r="W655" s="1" t="s">
        <v>8765</v>
      </c>
      <c r="X655" s="1">
        <v>200.0</v>
      </c>
      <c r="Z655" s="1" t="s">
        <v>445</v>
      </c>
      <c r="AE655" s="6" t="s">
        <v>8766</v>
      </c>
      <c r="AG655" s="5">
        <v>44552.0</v>
      </c>
    </row>
    <row r="656">
      <c r="A656" s="1">
        <v>463379.0</v>
      </c>
      <c r="B656" s="1">
        <v>0.0</v>
      </c>
      <c r="C656" s="1" t="s">
        <v>8767</v>
      </c>
      <c r="D656" s="1" t="s">
        <v>5081</v>
      </c>
      <c r="F656" s="1" t="s">
        <v>8768</v>
      </c>
      <c r="G656" s="1" t="s">
        <v>5136</v>
      </c>
      <c r="H656" s="1" t="s">
        <v>5102</v>
      </c>
      <c r="I656" s="1" t="s">
        <v>18</v>
      </c>
      <c r="J656" s="1" t="s">
        <v>5071</v>
      </c>
      <c r="K656" s="6" t="s">
        <v>8769</v>
      </c>
      <c r="L656" s="6" t="s">
        <v>8770</v>
      </c>
      <c r="M656" s="1" t="s">
        <v>8771</v>
      </c>
      <c r="P656" s="5">
        <v>32484.0</v>
      </c>
      <c r="R656" s="1" t="b">
        <v>0</v>
      </c>
      <c r="T656" s="1">
        <v>4272.0</v>
      </c>
      <c r="U656" s="1" t="b">
        <v>0</v>
      </c>
      <c r="V656" s="1" t="s">
        <v>8764</v>
      </c>
      <c r="W656" s="1" t="s">
        <v>8765</v>
      </c>
      <c r="X656" s="1">
        <v>200.0</v>
      </c>
      <c r="Z656" s="1" t="s">
        <v>445</v>
      </c>
      <c r="AA656" s="1" t="s">
        <v>8760</v>
      </c>
      <c r="AE656" s="6" t="s">
        <v>8772</v>
      </c>
      <c r="AG656" s="5">
        <v>44552.0</v>
      </c>
    </row>
    <row r="657">
      <c r="A657" s="1">
        <v>463386.0</v>
      </c>
      <c r="B657" s="1">
        <v>0.0</v>
      </c>
      <c r="C657" s="1" t="s">
        <v>8626</v>
      </c>
      <c r="D657" s="1" t="s">
        <v>5068</v>
      </c>
      <c r="F657" s="1" t="s">
        <v>8773</v>
      </c>
      <c r="G657" s="1" t="s">
        <v>26</v>
      </c>
      <c r="H657" s="1" t="s">
        <v>5102</v>
      </c>
      <c r="I657" s="1" t="s">
        <v>18</v>
      </c>
      <c r="J657" s="1" t="s">
        <v>5071</v>
      </c>
      <c r="K657" s="6" t="s">
        <v>8774</v>
      </c>
      <c r="L657" s="6" t="s">
        <v>8775</v>
      </c>
      <c r="M657" s="1" t="s">
        <v>8776</v>
      </c>
      <c r="P657" s="5">
        <v>34772.0</v>
      </c>
      <c r="R657" s="1" t="b">
        <v>0</v>
      </c>
      <c r="T657" s="1">
        <v>197915.0</v>
      </c>
      <c r="U657" s="1" t="b">
        <v>0</v>
      </c>
      <c r="V657" s="1" t="s">
        <v>8777</v>
      </c>
      <c r="W657" s="1" t="s">
        <v>8778</v>
      </c>
      <c r="X657" s="1">
        <v>200.0</v>
      </c>
      <c r="Z657" s="1" t="s">
        <v>440</v>
      </c>
      <c r="AE657" s="6" t="s">
        <v>8779</v>
      </c>
      <c r="AG657" s="5">
        <v>44552.0</v>
      </c>
    </row>
    <row r="658">
      <c r="A658" s="1">
        <v>463387.0</v>
      </c>
      <c r="B658" s="1">
        <v>0.0</v>
      </c>
      <c r="C658" s="1" t="s">
        <v>8780</v>
      </c>
      <c r="D658" s="1" t="s">
        <v>5081</v>
      </c>
      <c r="F658" s="1" t="s">
        <v>8781</v>
      </c>
      <c r="G658" s="1" t="s">
        <v>26</v>
      </c>
      <c r="H658" s="1" t="s">
        <v>5102</v>
      </c>
      <c r="I658" s="1" t="s">
        <v>18</v>
      </c>
      <c r="J658" s="1" t="s">
        <v>5071</v>
      </c>
      <c r="K658" s="6" t="s">
        <v>8782</v>
      </c>
      <c r="L658" s="6" t="s">
        <v>8783</v>
      </c>
      <c r="M658" s="1" t="s">
        <v>8784</v>
      </c>
      <c r="P658" s="5">
        <v>34772.0</v>
      </c>
      <c r="R658" s="1" t="b">
        <v>0</v>
      </c>
      <c r="T658" s="1">
        <v>197915.0</v>
      </c>
      <c r="U658" s="1" t="b">
        <v>0</v>
      </c>
      <c r="V658" s="1" t="s">
        <v>8777</v>
      </c>
      <c r="W658" s="1" t="s">
        <v>8778</v>
      </c>
      <c r="X658" s="1">
        <v>200.0</v>
      </c>
      <c r="Z658" s="1" t="s">
        <v>440</v>
      </c>
      <c r="AA658" s="1" t="s">
        <v>8773</v>
      </c>
      <c r="AE658" s="6" t="s">
        <v>8785</v>
      </c>
      <c r="AG658" s="5">
        <v>44552.0</v>
      </c>
    </row>
    <row r="659">
      <c r="A659" s="1">
        <v>463388.0</v>
      </c>
      <c r="B659" s="1">
        <v>0.0</v>
      </c>
      <c r="C659" s="1" t="s">
        <v>8786</v>
      </c>
      <c r="D659" s="1" t="s">
        <v>5068</v>
      </c>
      <c r="F659" s="1" t="s">
        <v>8787</v>
      </c>
      <c r="G659" s="1" t="s">
        <v>26</v>
      </c>
      <c r="H659" s="1" t="s">
        <v>5102</v>
      </c>
      <c r="I659" s="1" t="s">
        <v>18</v>
      </c>
      <c r="J659" s="1" t="s">
        <v>5071</v>
      </c>
      <c r="K659" s="6" t="s">
        <v>8788</v>
      </c>
      <c r="L659" s="6" t="s">
        <v>8789</v>
      </c>
      <c r="M659" s="1" t="s">
        <v>8790</v>
      </c>
      <c r="P659" s="5">
        <v>40143.0</v>
      </c>
      <c r="R659" s="1" t="b">
        <v>0</v>
      </c>
      <c r="T659" s="1">
        <v>197915.0</v>
      </c>
      <c r="U659" s="1" t="b">
        <v>0</v>
      </c>
      <c r="V659" s="1" t="s">
        <v>8791</v>
      </c>
      <c r="W659" s="1" t="s">
        <v>8792</v>
      </c>
      <c r="X659" s="1">
        <v>200.0</v>
      </c>
      <c r="Z659" s="1" t="s">
        <v>440</v>
      </c>
      <c r="AE659" s="6" t="s">
        <v>8793</v>
      </c>
      <c r="AG659" s="5">
        <v>44552.0</v>
      </c>
    </row>
    <row r="660">
      <c r="A660" s="1">
        <v>463389.0</v>
      </c>
      <c r="B660" s="1">
        <v>0.0</v>
      </c>
      <c r="C660" s="1" t="s">
        <v>8794</v>
      </c>
      <c r="D660" s="1" t="s">
        <v>5081</v>
      </c>
      <c r="F660" s="1" t="s">
        <v>8795</v>
      </c>
      <c r="G660" s="1" t="s">
        <v>26</v>
      </c>
      <c r="H660" s="1" t="s">
        <v>5102</v>
      </c>
      <c r="I660" s="1" t="s">
        <v>18</v>
      </c>
      <c r="J660" s="1" t="s">
        <v>5071</v>
      </c>
      <c r="K660" s="6" t="s">
        <v>8796</v>
      </c>
      <c r="L660" s="6" t="s">
        <v>8797</v>
      </c>
      <c r="M660" s="1" t="s">
        <v>8798</v>
      </c>
      <c r="P660" s="5">
        <v>40143.0</v>
      </c>
      <c r="R660" s="1" t="b">
        <v>0</v>
      </c>
      <c r="T660" s="1">
        <v>197915.0</v>
      </c>
      <c r="U660" s="1" t="b">
        <v>0</v>
      </c>
      <c r="V660" s="1" t="s">
        <v>8791</v>
      </c>
      <c r="W660" s="1" t="s">
        <v>8792</v>
      </c>
      <c r="X660" s="1">
        <v>200.0</v>
      </c>
      <c r="Z660" s="1" t="s">
        <v>440</v>
      </c>
      <c r="AA660" s="1" t="s">
        <v>8787</v>
      </c>
      <c r="AE660" s="6" t="s">
        <v>8799</v>
      </c>
      <c r="AG660" s="5">
        <v>44552.0</v>
      </c>
    </row>
    <row r="661">
      <c r="A661" s="1">
        <v>463390.0</v>
      </c>
      <c r="B661" s="1">
        <v>0.0</v>
      </c>
      <c r="C661" s="1" t="s">
        <v>8800</v>
      </c>
      <c r="D661" s="1" t="s">
        <v>5068</v>
      </c>
      <c r="F661" s="1" t="s">
        <v>8801</v>
      </c>
      <c r="G661" s="1" t="s">
        <v>26</v>
      </c>
      <c r="H661" s="1" t="s">
        <v>5102</v>
      </c>
      <c r="I661" s="1" t="s">
        <v>18</v>
      </c>
      <c r="J661" s="1" t="s">
        <v>5071</v>
      </c>
      <c r="K661" s="6" t="s">
        <v>8802</v>
      </c>
      <c r="L661" s="6" t="s">
        <v>8803</v>
      </c>
      <c r="M661" s="1" t="s">
        <v>8804</v>
      </c>
      <c r="P661" s="5">
        <v>34800.0</v>
      </c>
      <c r="R661" s="1" t="b">
        <v>0</v>
      </c>
      <c r="T661" s="1">
        <v>197915.0</v>
      </c>
      <c r="U661" s="1" t="b">
        <v>0</v>
      </c>
      <c r="V661" s="1" t="s">
        <v>8805</v>
      </c>
      <c r="W661" s="1" t="s">
        <v>8806</v>
      </c>
      <c r="X661" s="1">
        <v>200.0</v>
      </c>
      <c r="Z661" s="1" t="s">
        <v>440</v>
      </c>
      <c r="AE661" s="6" t="s">
        <v>8807</v>
      </c>
      <c r="AG661" s="5">
        <v>44552.0</v>
      </c>
    </row>
    <row r="662">
      <c r="A662" s="1">
        <v>463391.0</v>
      </c>
      <c r="B662" s="1">
        <v>0.0</v>
      </c>
      <c r="C662" s="1" t="s">
        <v>8808</v>
      </c>
      <c r="D662" s="1" t="s">
        <v>5081</v>
      </c>
      <c r="F662" s="1" t="s">
        <v>8809</v>
      </c>
      <c r="G662" s="1" t="s">
        <v>26</v>
      </c>
      <c r="H662" s="1" t="s">
        <v>5102</v>
      </c>
      <c r="I662" s="1" t="s">
        <v>18</v>
      </c>
      <c r="J662" s="1" t="s">
        <v>5071</v>
      </c>
      <c r="K662" s="6" t="s">
        <v>8810</v>
      </c>
      <c r="L662" s="6" t="s">
        <v>8811</v>
      </c>
      <c r="M662" s="1" t="s">
        <v>8812</v>
      </c>
      <c r="P662" s="5">
        <v>34800.0</v>
      </c>
      <c r="R662" s="1" t="b">
        <v>0</v>
      </c>
      <c r="T662" s="1">
        <v>197915.0</v>
      </c>
      <c r="U662" s="1" t="b">
        <v>0</v>
      </c>
      <c r="V662" s="1" t="s">
        <v>8805</v>
      </c>
      <c r="W662" s="1" t="s">
        <v>8806</v>
      </c>
      <c r="X662" s="1">
        <v>200.0</v>
      </c>
      <c r="Z662" s="1" t="s">
        <v>440</v>
      </c>
      <c r="AA662" s="1" t="s">
        <v>8801</v>
      </c>
      <c r="AE662" s="6" t="s">
        <v>8813</v>
      </c>
      <c r="AG662" s="5">
        <v>44552.0</v>
      </c>
    </row>
    <row r="663">
      <c r="A663" s="1">
        <v>463408.0</v>
      </c>
      <c r="B663" s="1">
        <v>0.0</v>
      </c>
      <c r="C663" s="1" t="s">
        <v>8814</v>
      </c>
      <c r="D663" s="1" t="s">
        <v>5068</v>
      </c>
      <c r="F663" s="1" t="s">
        <v>8815</v>
      </c>
      <c r="G663" s="1" t="s">
        <v>26</v>
      </c>
      <c r="H663" s="1" t="s">
        <v>5102</v>
      </c>
      <c r="I663" s="1" t="s">
        <v>18</v>
      </c>
      <c r="J663" s="1" t="s">
        <v>5071</v>
      </c>
      <c r="K663" s="6" t="s">
        <v>8816</v>
      </c>
      <c r="L663" s="6" t="s">
        <v>8817</v>
      </c>
      <c r="M663" s="1" t="s">
        <v>8818</v>
      </c>
      <c r="P663" s="5">
        <v>30827.0</v>
      </c>
      <c r="R663" s="1" t="b">
        <v>0</v>
      </c>
      <c r="T663" s="1">
        <v>82.0</v>
      </c>
      <c r="U663" s="1" t="b">
        <v>0</v>
      </c>
      <c r="V663" s="1" t="s">
        <v>8819</v>
      </c>
      <c r="W663" s="1" t="s">
        <v>8820</v>
      </c>
      <c r="X663" s="1">
        <v>200.0</v>
      </c>
      <c r="Z663" s="1" t="s">
        <v>6145</v>
      </c>
      <c r="AE663" s="6" t="s">
        <v>8821</v>
      </c>
      <c r="AG663" s="5">
        <v>44552.0</v>
      </c>
    </row>
    <row r="664">
      <c r="A664" s="1">
        <v>463409.0</v>
      </c>
      <c r="B664" s="1">
        <v>0.0</v>
      </c>
      <c r="C664" s="1" t="s">
        <v>8822</v>
      </c>
      <c r="D664" s="1" t="s">
        <v>5081</v>
      </c>
      <c r="F664" s="1" t="s">
        <v>8823</v>
      </c>
      <c r="G664" s="1" t="s">
        <v>26</v>
      </c>
      <c r="H664" s="1" t="s">
        <v>5102</v>
      </c>
      <c r="I664" s="1" t="s">
        <v>18</v>
      </c>
      <c r="J664" s="1" t="s">
        <v>5071</v>
      </c>
      <c r="K664" s="6" t="s">
        <v>8824</v>
      </c>
      <c r="L664" s="6" t="s">
        <v>8825</v>
      </c>
      <c r="M664" s="1" t="s">
        <v>8826</v>
      </c>
      <c r="P664" s="5">
        <v>30827.0</v>
      </c>
      <c r="R664" s="1" t="b">
        <v>0</v>
      </c>
      <c r="T664" s="1">
        <v>82.0</v>
      </c>
      <c r="U664" s="1" t="b">
        <v>0</v>
      </c>
      <c r="V664" s="1" t="s">
        <v>8819</v>
      </c>
      <c r="W664" s="1" t="s">
        <v>8820</v>
      </c>
      <c r="X664" s="1">
        <v>200.0</v>
      </c>
      <c r="Z664" s="1" t="s">
        <v>6145</v>
      </c>
      <c r="AA664" s="1" t="s">
        <v>8815</v>
      </c>
      <c r="AE664" s="6" t="s">
        <v>8827</v>
      </c>
      <c r="AG664" s="5">
        <v>44552.0</v>
      </c>
    </row>
    <row r="665">
      <c r="A665" s="1">
        <v>465141.0</v>
      </c>
      <c r="B665" s="1">
        <v>0.0</v>
      </c>
      <c r="C665" s="1" t="s">
        <v>8828</v>
      </c>
      <c r="D665" s="1" t="s">
        <v>5068</v>
      </c>
      <c r="F665" s="1" t="s">
        <v>8829</v>
      </c>
      <c r="G665" s="1" t="s">
        <v>26</v>
      </c>
      <c r="H665" s="1" t="s">
        <v>5102</v>
      </c>
      <c r="I665" s="1" t="s">
        <v>516</v>
      </c>
      <c r="J665" s="1" t="s">
        <v>202</v>
      </c>
      <c r="K665" s="6" t="s">
        <v>8830</v>
      </c>
      <c r="L665" s="6" t="s">
        <v>8831</v>
      </c>
      <c r="M665" s="1" t="s">
        <v>8832</v>
      </c>
      <c r="O665" s="5">
        <v>44532.0</v>
      </c>
      <c r="R665" s="1" t="b">
        <v>0</v>
      </c>
      <c r="U665" s="1" t="b">
        <v>1</v>
      </c>
      <c r="V665" s="1" t="s">
        <v>6982</v>
      </c>
      <c r="X665" s="1">
        <v>200.0</v>
      </c>
      <c r="Y665" s="1" t="s">
        <v>5075</v>
      </c>
      <c r="AG665" s="5">
        <v>44565.0</v>
      </c>
    </row>
    <row r="666">
      <c r="A666" s="1">
        <v>465142.0</v>
      </c>
      <c r="B666" s="1">
        <v>0.0</v>
      </c>
      <c r="C666" s="1" t="s">
        <v>8833</v>
      </c>
      <c r="D666" s="1" t="s">
        <v>5081</v>
      </c>
      <c r="F666" s="1" t="s">
        <v>8834</v>
      </c>
      <c r="G666" s="1" t="s">
        <v>26</v>
      </c>
      <c r="H666" s="1" t="s">
        <v>5102</v>
      </c>
      <c r="I666" s="1" t="s">
        <v>516</v>
      </c>
      <c r="J666" s="1" t="s">
        <v>202</v>
      </c>
      <c r="K666" s="6" t="s">
        <v>8835</v>
      </c>
      <c r="L666" s="6" t="s">
        <v>8836</v>
      </c>
      <c r="M666" s="1" t="s">
        <v>8837</v>
      </c>
      <c r="O666" s="5">
        <v>44532.0</v>
      </c>
      <c r="R666" s="1" t="b">
        <v>0</v>
      </c>
      <c r="U666" s="1" t="b">
        <v>1</v>
      </c>
      <c r="V666" s="1" t="s">
        <v>6982</v>
      </c>
      <c r="X666" s="1">
        <v>200.0</v>
      </c>
      <c r="AA666" s="1" t="s">
        <v>8829</v>
      </c>
      <c r="AG666" s="5">
        <v>44565.0</v>
      </c>
    </row>
    <row r="667">
      <c r="A667" s="1">
        <v>465189.0</v>
      </c>
      <c r="B667" s="1">
        <v>0.0</v>
      </c>
      <c r="C667" s="1" t="s">
        <v>8838</v>
      </c>
      <c r="D667" s="1" t="s">
        <v>5068</v>
      </c>
      <c r="F667" s="1" t="s">
        <v>8839</v>
      </c>
      <c r="G667" s="1" t="s">
        <v>26</v>
      </c>
      <c r="H667" s="1" t="s">
        <v>5102</v>
      </c>
      <c r="I667" s="1" t="s">
        <v>516</v>
      </c>
      <c r="J667" s="1" t="s">
        <v>70</v>
      </c>
      <c r="K667" s="6" t="s">
        <v>8840</v>
      </c>
      <c r="L667" s="6" t="s">
        <v>8841</v>
      </c>
      <c r="M667" s="1" t="s">
        <v>8842</v>
      </c>
      <c r="O667" s="5">
        <v>44554.0</v>
      </c>
      <c r="R667" s="1" t="b">
        <v>0</v>
      </c>
      <c r="U667" s="1" t="b">
        <v>1</v>
      </c>
      <c r="V667" s="1" t="s">
        <v>6982</v>
      </c>
      <c r="X667" s="1">
        <v>200.0</v>
      </c>
      <c r="Y667" s="1" t="s">
        <v>5075</v>
      </c>
      <c r="AG667" s="5">
        <v>44565.0</v>
      </c>
    </row>
    <row r="668">
      <c r="A668" s="1">
        <v>465596.0</v>
      </c>
      <c r="B668" s="1">
        <v>0.0</v>
      </c>
      <c r="C668" s="1" t="s">
        <v>8843</v>
      </c>
      <c r="D668" s="1" t="s">
        <v>5068</v>
      </c>
      <c r="F668" s="1" t="s">
        <v>8844</v>
      </c>
      <c r="G668" s="1" t="s">
        <v>5122</v>
      </c>
      <c r="H668" s="1" t="s">
        <v>5102</v>
      </c>
      <c r="I668" s="1" t="s">
        <v>18</v>
      </c>
      <c r="J668" s="1" t="s">
        <v>21</v>
      </c>
      <c r="K668" s="6" t="s">
        <v>8845</v>
      </c>
      <c r="L668" s="6" t="s">
        <v>8846</v>
      </c>
      <c r="M668" s="1" t="s">
        <v>8847</v>
      </c>
      <c r="O668" s="5">
        <v>44561.0</v>
      </c>
      <c r="P668" s="5">
        <v>44562.0</v>
      </c>
      <c r="R668" s="1" t="b">
        <v>0</v>
      </c>
      <c r="T668" s="1">
        <v>410147.0</v>
      </c>
      <c r="U668" s="1" t="b">
        <v>1</v>
      </c>
      <c r="V668" s="1" t="s">
        <v>6125</v>
      </c>
      <c r="X668" s="1">
        <v>200.0</v>
      </c>
      <c r="Y668" s="1" t="s">
        <v>5075</v>
      </c>
      <c r="Z668" s="1" t="s">
        <v>761</v>
      </c>
      <c r="AE668" s="6" t="s">
        <v>8848</v>
      </c>
      <c r="AF668" s="6" t="s">
        <v>8849</v>
      </c>
      <c r="AG668" s="5">
        <v>44566.0</v>
      </c>
    </row>
    <row r="669">
      <c r="A669" s="1">
        <v>465669.0</v>
      </c>
      <c r="B669" s="1">
        <v>1.0</v>
      </c>
      <c r="C669" s="1" t="s">
        <v>8850</v>
      </c>
      <c r="D669" s="1" t="s">
        <v>5068</v>
      </c>
      <c r="F669" s="1" t="s">
        <v>8851</v>
      </c>
      <c r="G669" s="1" t="s">
        <v>26</v>
      </c>
      <c r="H669" s="1" t="s">
        <v>5102</v>
      </c>
      <c r="I669" s="1" t="s">
        <v>18</v>
      </c>
      <c r="J669" s="1" t="s">
        <v>5149</v>
      </c>
      <c r="K669" s="6" t="s">
        <v>8852</v>
      </c>
      <c r="L669" s="6" t="s">
        <v>8853</v>
      </c>
      <c r="M669" s="1" t="s">
        <v>8854</v>
      </c>
      <c r="O669" s="5">
        <v>44554.0</v>
      </c>
      <c r="P669" s="5">
        <v>44562.0</v>
      </c>
      <c r="R669" s="1" t="b">
        <v>0</v>
      </c>
      <c r="T669" s="1">
        <v>296.0</v>
      </c>
      <c r="U669" s="1" t="b">
        <v>1</v>
      </c>
      <c r="V669" s="1" t="s">
        <v>8855</v>
      </c>
      <c r="W669" s="1" t="s">
        <v>8856</v>
      </c>
      <c r="X669" s="1">
        <v>200.0</v>
      </c>
      <c r="Y669" s="1" t="s">
        <v>5075</v>
      </c>
      <c r="Z669" s="1" t="s">
        <v>1357</v>
      </c>
      <c r="AC669" s="1" t="s">
        <v>5077</v>
      </c>
      <c r="AD669" s="1" t="s">
        <v>5078</v>
      </c>
      <c r="AE669" s="6" t="s">
        <v>8857</v>
      </c>
      <c r="AF669" s="6" t="s">
        <v>8858</v>
      </c>
      <c r="AG669" s="5">
        <v>44567.0</v>
      </c>
      <c r="AH669" s="1">
        <v>346837.0</v>
      </c>
    </row>
    <row r="670">
      <c r="A670" s="1">
        <v>465670.0</v>
      </c>
      <c r="B670" s="1">
        <v>1.0</v>
      </c>
      <c r="C670" s="1" t="s">
        <v>8859</v>
      </c>
      <c r="D670" s="1" t="s">
        <v>5068</v>
      </c>
      <c r="F670" s="1" t="s">
        <v>8860</v>
      </c>
      <c r="G670" s="1" t="s">
        <v>26</v>
      </c>
      <c r="H670" s="1" t="s">
        <v>5102</v>
      </c>
      <c r="I670" s="1" t="s">
        <v>18</v>
      </c>
      <c r="J670" s="1" t="s">
        <v>53</v>
      </c>
      <c r="K670" s="6" t="s">
        <v>8861</v>
      </c>
      <c r="L670" s="6" t="s">
        <v>8862</v>
      </c>
      <c r="M670" s="1" t="s">
        <v>8863</v>
      </c>
      <c r="O670" s="5">
        <v>44561.0</v>
      </c>
      <c r="P670" s="5">
        <v>44562.0</v>
      </c>
      <c r="R670" s="1" t="b">
        <v>0</v>
      </c>
      <c r="T670" s="1">
        <v>170936.0</v>
      </c>
      <c r="U670" s="1" t="b">
        <v>1</v>
      </c>
      <c r="V670" s="1" t="s">
        <v>8855</v>
      </c>
      <c r="W670" s="1" t="s">
        <v>8864</v>
      </c>
      <c r="X670" s="1">
        <v>200.0</v>
      </c>
      <c r="Y670" s="1" t="s">
        <v>5075</v>
      </c>
      <c r="Z670" s="1" t="s">
        <v>8616</v>
      </c>
      <c r="AC670" s="1" t="s">
        <v>5077</v>
      </c>
      <c r="AD670" s="1" t="s">
        <v>5078</v>
      </c>
      <c r="AE670" s="6" t="s">
        <v>8865</v>
      </c>
      <c r="AF670" s="6" t="s">
        <v>8866</v>
      </c>
      <c r="AG670" s="5">
        <v>44567.0</v>
      </c>
      <c r="AH670" s="1">
        <v>346841.0</v>
      </c>
    </row>
    <row r="671">
      <c r="A671" s="1">
        <v>466090.0</v>
      </c>
      <c r="B671" s="1">
        <v>1.0</v>
      </c>
      <c r="C671" s="1" t="s">
        <v>8867</v>
      </c>
      <c r="D671" s="1" t="s">
        <v>5068</v>
      </c>
      <c r="F671" s="1" t="s">
        <v>8868</v>
      </c>
      <c r="G671" s="1" t="s">
        <v>5122</v>
      </c>
      <c r="H671" s="1" t="s">
        <v>5102</v>
      </c>
      <c r="I671" s="1" t="s">
        <v>18</v>
      </c>
      <c r="J671" s="1" t="s">
        <v>202</v>
      </c>
      <c r="K671" s="6" t="s">
        <v>8869</v>
      </c>
      <c r="L671" s="6" t="s">
        <v>8870</v>
      </c>
      <c r="M671" s="1" t="s">
        <v>8871</v>
      </c>
      <c r="O671" s="5">
        <v>44545.0</v>
      </c>
      <c r="P671" s="5">
        <v>44560.0</v>
      </c>
      <c r="R671" s="1" t="b">
        <v>0</v>
      </c>
      <c r="T671" s="1">
        <v>22.0</v>
      </c>
      <c r="U671" s="1" t="b">
        <v>1</v>
      </c>
      <c r="V671" s="1" t="s">
        <v>8872</v>
      </c>
      <c r="W671" s="1" t="s">
        <v>8873</v>
      </c>
      <c r="X671" s="1">
        <v>200.0</v>
      </c>
      <c r="Y671" s="1" t="s">
        <v>5075</v>
      </c>
      <c r="Z671" s="1" t="s">
        <v>5100</v>
      </c>
      <c r="AE671" s="6" t="s">
        <v>8874</v>
      </c>
      <c r="AG671" s="5">
        <v>44571.0</v>
      </c>
    </row>
    <row r="672">
      <c r="A672" s="1">
        <v>466091.0</v>
      </c>
      <c r="B672" s="1">
        <v>1.0</v>
      </c>
      <c r="C672" s="1" t="s">
        <v>8875</v>
      </c>
      <c r="D672" s="1" t="s">
        <v>5081</v>
      </c>
      <c r="F672" s="1" t="s">
        <v>8876</v>
      </c>
      <c r="G672" s="1" t="s">
        <v>5122</v>
      </c>
      <c r="H672" s="1" t="s">
        <v>5102</v>
      </c>
      <c r="I672" s="1" t="s">
        <v>18</v>
      </c>
      <c r="J672" s="1" t="s">
        <v>202</v>
      </c>
      <c r="K672" s="6" t="s">
        <v>8877</v>
      </c>
      <c r="L672" s="6" t="s">
        <v>8878</v>
      </c>
      <c r="M672" s="1" t="s">
        <v>8879</v>
      </c>
      <c r="O672" s="5">
        <v>44545.0</v>
      </c>
      <c r="P672" s="5">
        <v>44560.0</v>
      </c>
      <c r="R672" s="1" t="b">
        <v>0</v>
      </c>
      <c r="T672" s="1">
        <v>22.0</v>
      </c>
      <c r="U672" s="1" t="b">
        <v>1</v>
      </c>
      <c r="V672" s="1" t="s">
        <v>8872</v>
      </c>
      <c r="W672" s="1" t="s">
        <v>8873</v>
      </c>
      <c r="X672" s="1">
        <v>200.0</v>
      </c>
      <c r="Z672" s="1" t="s">
        <v>5100</v>
      </c>
      <c r="AA672" s="1" t="s">
        <v>8868</v>
      </c>
      <c r="AC672" s="1" t="s">
        <v>5077</v>
      </c>
      <c r="AD672" s="1" t="s">
        <v>5093</v>
      </c>
      <c r="AE672" s="6" t="s">
        <v>8880</v>
      </c>
      <c r="AG672" s="5">
        <v>44571.0</v>
      </c>
      <c r="AH672" s="1">
        <v>346147.0</v>
      </c>
    </row>
    <row r="673">
      <c r="A673" s="1">
        <v>466094.0</v>
      </c>
      <c r="B673" s="1">
        <v>0.0</v>
      </c>
      <c r="C673" s="1" t="s">
        <v>8881</v>
      </c>
      <c r="D673" s="1" t="s">
        <v>5068</v>
      </c>
      <c r="F673" s="1" t="s">
        <v>8882</v>
      </c>
      <c r="G673" s="1" t="s">
        <v>5122</v>
      </c>
      <c r="H673" s="1" t="s">
        <v>5102</v>
      </c>
      <c r="I673" s="1" t="s">
        <v>18</v>
      </c>
      <c r="J673" s="1" t="s">
        <v>202</v>
      </c>
      <c r="K673" s="6" t="s">
        <v>8883</v>
      </c>
      <c r="L673" s="6" t="s">
        <v>8884</v>
      </c>
      <c r="M673" s="1" t="s">
        <v>8885</v>
      </c>
      <c r="O673" s="5">
        <v>44545.0</v>
      </c>
      <c r="P673" s="5">
        <v>44560.0</v>
      </c>
      <c r="R673" s="1" t="b">
        <v>0</v>
      </c>
      <c r="T673" s="1">
        <v>22.0</v>
      </c>
      <c r="U673" s="1" t="b">
        <v>1</v>
      </c>
      <c r="V673" s="1" t="s">
        <v>8886</v>
      </c>
      <c r="W673" s="1" t="s">
        <v>8887</v>
      </c>
      <c r="X673" s="1">
        <v>200.0</v>
      </c>
      <c r="Y673" s="1" t="s">
        <v>5075</v>
      </c>
      <c r="Z673" s="1" t="s">
        <v>5100</v>
      </c>
      <c r="AG673" s="5">
        <v>44571.0</v>
      </c>
    </row>
    <row r="674">
      <c r="A674" s="1">
        <v>466095.0</v>
      </c>
      <c r="B674" s="1">
        <v>0.0</v>
      </c>
      <c r="C674" s="1" t="s">
        <v>8888</v>
      </c>
      <c r="D674" s="1" t="s">
        <v>5081</v>
      </c>
      <c r="F674" s="1" t="s">
        <v>8889</v>
      </c>
      <c r="G674" s="1" t="s">
        <v>5122</v>
      </c>
      <c r="H674" s="1" t="s">
        <v>5102</v>
      </c>
      <c r="I674" s="1" t="s">
        <v>18</v>
      </c>
      <c r="J674" s="1" t="s">
        <v>202</v>
      </c>
      <c r="K674" s="6" t="s">
        <v>8890</v>
      </c>
      <c r="L674" s="6" t="s">
        <v>8891</v>
      </c>
      <c r="M674" s="1" t="s">
        <v>8892</v>
      </c>
      <c r="O674" s="5">
        <v>44545.0</v>
      </c>
      <c r="P674" s="5">
        <v>44560.0</v>
      </c>
      <c r="R674" s="1" t="b">
        <v>0</v>
      </c>
      <c r="T674" s="1">
        <v>22.0</v>
      </c>
      <c r="U674" s="1" t="b">
        <v>1</v>
      </c>
      <c r="V674" s="1" t="s">
        <v>8886</v>
      </c>
      <c r="W674" s="1" t="s">
        <v>8887</v>
      </c>
      <c r="X674" s="1">
        <v>200.0</v>
      </c>
      <c r="Z674" s="1" t="s">
        <v>5100</v>
      </c>
      <c r="AA674" s="1" t="s">
        <v>8882</v>
      </c>
      <c r="AG674" s="5">
        <v>44571.0</v>
      </c>
    </row>
    <row r="675">
      <c r="A675" s="1">
        <v>466096.0</v>
      </c>
      <c r="B675" s="1">
        <v>0.0</v>
      </c>
      <c r="C675" s="1" t="s">
        <v>8893</v>
      </c>
      <c r="D675" s="1" t="s">
        <v>5068</v>
      </c>
      <c r="F675" s="1" t="s">
        <v>8894</v>
      </c>
      <c r="G675" s="1" t="s">
        <v>26</v>
      </c>
      <c r="H675" s="1" t="s">
        <v>5102</v>
      </c>
      <c r="I675" s="1" t="s">
        <v>18</v>
      </c>
      <c r="J675" s="1" t="s">
        <v>5071</v>
      </c>
      <c r="K675" s="6" t="s">
        <v>8895</v>
      </c>
      <c r="L675" s="6" t="s">
        <v>8896</v>
      </c>
      <c r="M675" s="1" t="s">
        <v>8897</v>
      </c>
      <c r="O675" s="5">
        <v>44552.0</v>
      </c>
      <c r="P675" s="5">
        <v>44562.0</v>
      </c>
      <c r="R675" s="1" t="b">
        <v>0</v>
      </c>
      <c r="T675" s="1">
        <v>4272.0</v>
      </c>
      <c r="U675" s="1" t="b">
        <v>1</v>
      </c>
      <c r="V675" s="1" t="s">
        <v>8898</v>
      </c>
      <c r="W675" s="1" t="s">
        <v>8899</v>
      </c>
      <c r="X675" s="1">
        <v>200.0</v>
      </c>
      <c r="Y675" s="1" t="s">
        <v>5075</v>
      </c>
      <c r="Z675" s="1" t="s">
        <v>445</v>
      </c>
      <c r="AE675" s="6" t="s">
        <v>8900</v>
      </c>
      <c r="AF675" s="6" t="s">
        <v>8901</v>
      </c>
      <c r="AG675" s="5">
        <v>44571.0</v>
      </c>
    </row>
    <row r="676">
      <c r="A676" s="1">
        <v>466097.0</v>
      </c>
      <c r="B676" s="1">
        <v>0.0</v>
      </c>
      <c r="C676" s="1" t="s">
        <v>8453</v>
      </c>
      <c r="D676" s="1" t="s">
        <v>5081</v>
      </c>
      <c r="F676" s="1" t="s">
        <v>8902</v>
      </c>
      <c r="G676" s="1" t="s">
        <v>26</v>
      </c>
      <c r="H676" s="1" t="s">
        <v>5102</v>
      </c>
      <c r="I676" s="1" t="s">
        <v>18</v>
      </c>
      <c r="J676" s="1" t="s">
        <v>5071</v>
      </c>
      <c r="K676" s="6" t="s">
        <v>8903</v>
      </c>
      <c r="L676" s="6" t="s">
        <v>8904</v>
      </c>
      <c r="M676" s="1" t="s">
        <v>8905</v>
      </c>
      <c r="O676" s="5">
        <v>44552.0</v>
      </c>
      <c r="P676" s="5">
        <v>44562.0</v>
      </c>
      <c r="R676" s="1" t="b">
        <v>0</v>
      </c>
      <c r="T676" s="1">
        <v>4272.0</v>
      </c>
      <c r="U676" s="1" t="b">
        <v>1</v>
      </c>
      <c r="V676" s="1" t="s">
        <v>8898</v>
      </c>
      <c r="W676" s="1" t="s">
        <v>8899</v>
      </c>
      <c r="X676" s="1">
        <v>200.0</v>
      </c>
      <c r="Z676" s="1" t="s">
        <v>445</v>
      </c>
      <c r="AA676" s="1" t="s">
        <v>8894</v>
      </c>
      <c r="AE676" s="6" t="s">
        <v>8906</v>
      </c>
      <c r="AF676" s="6" t="s">
        <v>8901</v>
      </c>
      <c r="AG676" s="5">
        <v>44571.0</v>
      </c>
    </row>
    <row r="677">
      <c r="A677" s="1">
        <v>466098.0</v>
      </c>
      <c r="B677" s="1">
        <v>0.0</v>
      </c>
      <c r="C677" s="1" t="s">
        <v>8907</v>
      </c>
      <c r="D677" s="1" t="s">
        <v>5068</v>
      </c>
      <c r="F677" s="1" t="s">
        <v>8908</v>
      </c>
      <c r="G677" s="1" t="s">
        <v>26</v>
      </c>
      <c r="H677" s="1" t="s">
        <v>5102</v>
      </c>
      <c r="I677" s="1" t="s">
        <v>18</v>
      </c>
      <c r="J677" s="1" t="s">
        <v>5071</v>
      </c>
      <c r="K677" s="6" t="s">
        <v>8909</v>
      </c>
      <c r="L677" s="6" t="s">
        <v>8910</v>
      </c>
      <c r="M677" s="1" t="s">
        <v>8911</v>
      </c>
      <c r="O677" s="5">
        <v>44552.0</v>
      </c>
      <c r="P677" s="5">
        <v>44562.0</v>
      </c>
      <c r="R677" s="1" t="b">
        <v>0</v>
      </c>
      <c r="T677" s="1">
        <v>197915.0</v>
      </c>
      <c r="U677" s="1" t="b">
        <v>1</v>
      </c>
      <c r="V677" s="1" t="s">
        <v>8912</v>
      </c>
      <c r="W677" s="1" t="s">
        <v>8913</v>
      </c>
      <c r="X677" s="1">
        <v>200.0</v>
      </c>
      <c r="Y677" s="1" t="s">
        <v>5075</v>
      </c>
      <c r="Z677" s="1" t="s">
        <v>440</v>
      </c>
      <c r="AE677" s="6" t="s">
        <v>8914</v>
      </c>
      <c r="AF677" s="6" t="s">
        <v>8901</v>
      </c>
      <c r="AG677" s="5">
        <v>44571.0</v>
      </c>
    </row>
    <row r="678">
      <c r="A678" s="1">
        <v>466099.0</v>
      </c>
      <c r="B678" s="1">
        <v>0.0</v>
      </c>
      <c r="C678" s="1" t="s">
        <v>8463</v>
      </c>
      <c r="D678" s="1" t="s">
        <v>5081</v>
      </c>
      <c r="F678" s="1" t="s">
        <v>8915</v>
      </c>
      <c r="G678" s="1" t="s">
        <v>26</v>
      </c>
      <c r="H678" s="1" t="s">
        <v>5102</v>
      </c>
      <c r="I678" s="1" t="s">
        <v>18</v>
      </c>
      <c r="J678" s="1" t="s">
        <v>5071</v>
      </c>
      <c r="K678" s="6" t="s">
        <v>8916</v>
      </c>
      <c r="L678" s="6" t="s">
        <v>8917</v>
      </c>
      <c r="M678" s="1" t="s">
        <v>8918</v>
      </c>
      <c r="O678" s="5">
        <v>44552.0</v>
      </c>
      <c r="P678" s="5">
        <v>44562.0</v>
      </c>
      <c r="R678" s="1" t="b">
        <v>0</v>
      </c>
      <c r="T678" s="1">
        <v>197915.0</v>
      </c>
      <c r="U678" s="1" t="b">
        <v>1</v>
      </c>
      <c r="V678" s="1" t="s">
        <v>8912</v>
      </c>
      <c r="W678" s="1" t="s">
        <v>8913</v>
      </c>
      <c r="X678" s="1">
        <v>200.0</v>
      </c>
      <c r="Z678" s="1" t="s">
        <v>440</v>
      </c>
      <c r="AA678" s="1" t="s">
        <v>8908</v>
      </c>
      <c r="AE678" s="6" t="s">
        <v>8919</v>
      </c>
      <c r="AF678" s="6" t="s">
        <v>8901</v>
      </c>
      <c r="AG678" s="5">
        <v>44571.0</v>
      </c>
    </row>
    <row r="679">
      <c r="A679" s="1">
        <v>466368.0</v>
      </c>
      <c r="B679" s="1">
        <v>0.0</v>
      </c>
      <c r="C679" s="1" t="s">
        <v>8920</v>
      </c>
      <c r="D679" s="1" t="s">
        <v>5068</v>
      </c>
      <c r="F679" s="1" t="s">
        <v>8921</v>
      </c>
      <c r="G679" s="1" t="s">
        <v>5368</v>
      </c>
      <c r="H679" s="1" t="s">
        <v>5102</v>
      </c>
      <c r="I679" s="1" t="s">
        <v>18</v>
      </c>
      <c r="J679" s="1" t="s">
        <v>5071</v>
      </c>
      <c r="K679" s="6" t="s">
        <v>8922</v>
      </c>
      <c r="L679" s="6" t="s">
        <v>8923</v>
      </c>
      <c r="M679" s="1" t="s">
        <v>8924</v>
      </c>
      <c r="R679" s="1" t="b">
        <v>0</v>
      </c>
      <c r="U679" s="1" t="b">
        <v>0</v>
      </c>
      <c r="V679" s="1" t="s">
        <v>8925</v>
      </c>
      <c r="W679" s="1" t="s">
        <v>8926</v>
      </c>
      <c r="X679" s="1">
        <v>200.0</v>
      </c>
      <c r="Y679" s="1" t="s">
        <v>5075</v>
      </c>
      <c r="AE679" s="6" t="s">
        <v>8927</v>
      </c>
      <c r="AG679" s="5">
        <v>44573.0</v>
      </c>
    </row>
    <row r="680">
      <c r="A680" s="1">
        <v>466369.0</v>
      </c>
      <c r="B680" s="1">
        <v>0.0</v>
      </c>
      <c r="C680" s="1" t="s">
        <v>8928</v>
      </c>
      <c r="D680" s="1" t="s">
        <v>5081</v>
      </c>
      <c r="F680" s="1" t="s">
        <v>8929</v>
      </c>
      <c r="G680" s="1" t="s">
        <v>5368</v>
      </c>
      <c r="H680" s="1" t="s">
        <v>5102</v>
      </c>
      <c r="I680" s="1" t="s">
        <v>18</v>
      </c>
      <c r="J680" s="1" t="s">
        <v>5071</v>
      </c>
      <c r="K680" s="6" t="s">
        <v>8930</v>
      </c>
      <c r="L680" s="6" t="s">
        <v>8931</v>
      </c>
      <c r="M680" s="1" t="s">
        <v>8932</v>
      </c>
      <c r="R680" s="1" t="b">
        <v>0</v>
      </c>
      <c r="U680" s="1" t="b">
        <v>0</v>
      </c>
      <c r="V680" s="1" t="s">
        <v>8925</v>
      </c>
      <c r="W680" s="1" t="s">
        <v>8926</v>
      </c>
      <c r="X680" s="1">
        <v>200.0</v>
      </c>
      <c r="AA680" s="1" t="s">
        <v>8921</v>
      </c>
      <c r="AE680" s="6" t="s">
        <v>8933</v>
      </c>
      <c r="AG680" s="5">
        <v>44573.0</v>
      </c>
    </row>
    <row r="681">
      <c r="A681" s="1">
        <v>466396.0</v>
      </c>
      <c r="B681" s="1">
        <v>0.0</v>
      </c>
      <c r="C681" s="1" t="s">
        <v>8934</v>
      </c>
      <c r="D681" s="1" t="s">
        <v>5068</v>
      </c>
      <c r="F681" s="1" t="s">
        <v>8935</v>
      </c>
      <c r="G681" s="1" t="s">
        <v>26</v>
      </c>
      <c r="H681" s="1" t="s">
        <v>5102</v>
      </c>
      <c r="I681" s="1" t="s">
        <v>18</v>
      </c>
      <c r="J681" s="1" t="s">
        <v>5071</v>
      </c>
      <c r="K681" s="6" t="s">
        <v>8936</v>
      </c>
      <c r="L681" s="6" t="s">
        <v>8937</v>
      </c>
      <c r="M681" s="1" t="s">
        <v>8938</v>
      </c>
      <c r="R681" s="1" t="b">
        <v>0</v>
      </c>
      <c r="U681" s="1" t="b">
        <v>0</v>
      </c>
      <c r="V681" s="1" t="s">
        <v>6167</v>
      </c>
      <c r="W681" s="1" t="s">
        <v>8939</v>
      </c>
      <c r="X681" s="1">
        <v>200.0</v>
      </c>
      <c r="Y681" s="1" t="s">
        <v>5075</v>
      </c>
      <c r="AE681" s="6" t="s">
        <v>8940</v>
      </c>
      <c r="AG681" s="5">
        <v>44573.0</v>
      </c>
    </row>
    <row r="682">
      <c r="A682" s="1">
        <v>466397.0</v>
      </c>
      <c r="B682" s="1">
        <v>0.0</v>
      </c>
      <c r="C682" s="1" t="s">
        <v>8941</v>
      </c>
      <c r="D682" s="1" t="s">
        <v>5081</v>
      </c>
      <c r="F682" s="1" t="s">
        <v>8942</v>
      </c>
      <c r="G682" s="1" t="s">
        <v>26</v>
      </c>
      <c r="H682" s="1" t="s">
        <v>5102</v>
      </c>
      <c r="I682" s="1" t="s">
        <v>18</v>
      </c>
      <c r="J682" s="1" t="s">
        <v>5071</v>
      </c>
      <c r="K682" s="6" t="s">
        <v>8943</v>
      </c>
      <c r="L682" s="6" t="s">
        <v>8944</v>
      </c>
      <c r="M682" s="1" t="s">
        <v>8945</v>
      </c>
      <c r="R682" s="1" t="b">
        <v>0</v>
      </c>
      <c r="U682" s="1" t="b">
        <v>0</v>
      </c>
      <c r="V682" s="1" t="s">
        <v>6167</v>
      </c>
      <c r="W682" s="1" t="s">
        <v>8939</v>
      </c>
      <c r="X682" s="1">
        <v>200.0</v>
      </c>
      <c r="AA682" s="1" t="s">
        <v>8935</v>
      </c>
      <c r="AE682" s="6" t="s">
        <v>8946</v>
      </c>
      <c r="AG682" s="5">
        <v>44573.0</v>
      </c>
    </row>
    <row r="683">
      <c r="A683" s="1">
        <v>466890.0</v>
      </c>
      <c r="B683" s="1">
        <v>0.0</v>
      </c>
      <c r="C683" s="1" t="s">
        <v>717</v>
      </c>
      <c r="D683" s="1" t="s">
        <v>5068</v>
      </c>
      <c r="F683" s="1" t="s">
        <v>718</v>
      </c>
      <c r="G683" s="1" t="s">
        <v>5368</v>
      </c>
      <c r="H683" s="1" t="s">
        <v>5102</v>
      </c>
      <c r="I683" s="1" t="s">
        <v>516</v>
      </c>
      <c r="J683" s="1" t="s">
        <v>70</v>
      </c>
      <c r="K683" s="6" t="s">
        <v>8947</v>
      </c>
      <c r="L683" s="6" t="s">
        <v>8948</v>
      </c>
      <c r="M683" s="1" t="s">
        <v>8949</v>
      </c>
      <c r="O683" s="5">
        <v>44572.0</v>
      </c>
      <c r="R683" s="1" t="b">
        <v>0</v>
      </c>
      <c r="U683" s="1" t="b">
        <v>1</v>
      </c>
      <c r="V683" s="1" t="s">
        <v>6982</v>
      </c>
      <c r="X683" s="1">
        <v>200.0</v>
      </c>
      <c r="Y683" s="1" t="s">
        <v>5075</v>
      </c>
      <c r="AG683" s="5">
        <v>44574.0</v>
      </c>
    </row>
    <row r="684">
      <c r="A684" s="1">
        <v>469185.0</v>
      </c>
      <c r="B684" s="1">
        <v>0.0</v>
      </c>
      <c r="C684" s="1" t="s">
        <v>8950</v>
      </c>
      <c r="D684" s="1" t="s">
        <v>5068</v>
      </c>
      <c r="F684" s="1" t="s">
        <v>8951</v>
      </c>
      <c r="G684" s="1" t="s">
        <v>26</v>
      </c>
      <c r="H684" s="1" t="s">
        <v>5102</v>
      </c>
      <c r="I684" s="1" t="s">
        <v>18</v>
      </c>
      <c r="J684" s="1" t="s">
        <v>5071</v>
      </c>
      <c r="K684" s="6" t="s">
        <v>8952</v>
      </c>
      <c r="L684" s="6" t="s">
        <v>8953</v>
      </c>
      <c r="M684" s="1" t="s">
        <v>8954</v>
      </c>
      <c r="O684" s="5">
        <v>42419.0</v>
      </c>
      <c r="R684" s="1" t="b">
        <v>0</v>
      </c>
      <c r="T684" s="1">
        <v>4272.0</v>
      </c>
      <c r="U684" s="1" t="b">
        <v>0</v>
      </c>
      <c r="V684" s="1" t="s">
        <v>6167</v>
      </c>
      <c r="W684" s="1" t="s">
        <v>8955</v>
      </c>
      <c r="X684" s="1">
        <v>200.0</v>
      </c>
      <c r="Z684" s="1" t="s">
        <v>445</v>
      </c>
      <c r="AE684" s="6" t="s">
        <v>8956</v>
      </c>
      <c r="AG684" s="5">
        <v>44589.0</v>
      </c>
    </row>
    <row r="685">
      <c r="A685" s="1">
        <v>469186.0</v>
      </c>
      <c r="B685" s="1">
        <v>0.0</v>
      </c>
      <c r="C685" s="1" t="s">
        <v>8957</v>
      </c>
      <c r="D685" s="1" t="s">
        <v>5081</v>
      </c>
      <c r="F685" s="1" t="s">
        <v>8958</v>
      </c>
      <c r="G685" s="1" t="s">
        <v>26</v>
      </c>
      <c r="H685" s="1" t="s">
        <v>5102</v>
      </c>
      <c r="I685" s="1" t="s">
        <v>18</v>
      </c>
      <c r="J685" s="1" t="s">
        <v>5071</v>
      </c>
      <c r="K685" s="6" t="s">
        <v>8959</v>
      </c>
      <c r="L685" s="6" t="s">
        <v>8960</v>
      </c>
      <c r="M685" s="1" t="s">
        <v>8961</v>
      </c>
      <c r="O685" s="5">
        <v>42419.0</v>
      </c>
      <c r="R685" s="1" t="b">
        <v>0</v>
      </c>
      <c r="T685" s="1">
        <v>4272.0</v>
      </c>
      <c r="U685" s="1" t="b">
        <v>0</v>
      </c>
      <c r="V685" s="1" t="s">
        <v>6167</v>
      </c>
      <c r="W685" s="1" t="s">
        <v>8955</v>
      </c>
      <c r="X685" s="1">
        <v>200.0</v>
      </c>
      <c r="Z685" s="1" t="s">
        <v>445</v>
      </c>
      <c r="AA685" s="1" t="s">
        <v>8951</v>
      </c>
      <c r="AE685" s="6" t="s">
        <v>8962</v>
      </c>
      <c r="AG685" s="5">
        <v>44589.0</v>
      </c>
    </row>
    <row r="686">
      <c r="A686" s="1">
        <v>469189.0</v>
      </c>
      <c r="B686" s="1">
        <v>0.0</v>
      </c>
      <c r="C686" s="1" t="s">
        <v>8963</v>
      </c>
      <c r="D686" s="1" t="s">
        <v>5068</v>
      </c>
      <c r="F686" s="1" t="s">
        <v>8964</v>
      </c>
      <c r="G686" s="1" t="s">
        <v>26</v>
      </c>
      <c r="H686" s="1" t="s">
        <v>5102</v>
      </c>
      <c r="I686" s="1" t="s">
        <v>18</v>
      </c>
      <c r="J686" s="1" t="s">
        <v>5071</v>
      </c>
      <c r="K686" s="6" t="s">
        <v>8965</v>
      </c>
      <c r="L686" s="6" t="s">
        <v>8966</v>
      </c>
      <c r="M686" s="1" t="s">
        <v>8967</v>
      </c>
      <c r="O686" s="5">
        <v>42419.0</v>
      </c>
      <c r="R686" s="1" t="b">
        <v>0</v>
      </c>
      <c r="T686" s="1">
        <v>197915.0</v>
      </c>
      <c r="U686" s="1" t="b">
        <v>0</v>
      </c>
      <c r="V686" s="1" t="s">
        <v>6167</v>
      </c>
      <c r="W686" s="1" t="s">
        <v>8955</v>
      </c>
      <c r="X686" s="1">
        <v>200.0</v>
      </c>
      <c r="Z686" s="1" t="s">
        <v>440</v>
      </c>
      <c r="AE686" s="6" t="s">
        <v>8968</v>
      </c>
      <c r="AG686" s="5">
        <v>44589.0</v>
      </c>
    </row>
    <row r="687">
      <c r="A687" s="1">
        <v>469190.0</v>
      </c>
      <c r="B687" s="1">
        <v>0.0</v>
      </c>
      <c r="C687" s="1" t="s">
        <v>8969</v>
      </c>
      <c r="D687" s="1" t="s">
        <v>5081</v>
      </c>
      <c r="F687" s="1" t="s">
        <v>8970</v>
      </c>
      <c r="G687" s="1" t="s">
        <v>26</v>
      </c>
      <c r="H687" s="1" t="s">
        <v>5102</v>
      </c>
      <c r="I687" s="1" t="s">
        <v>18</v>
      </c>
      <c r="J687" s="1" t="s">
        <v>5071</v>
      </c>
      <c r="K687" s="6" t="s">
        <v>8971</v>
      </c>
      <c r="L687" s="6" t="s">
        <v>8972</v>
      </c>
      <c r="M687" s="1" t="s">
        <v>8973</v>
      </c>
      <c r="O687" s="5">
        <v>42419.0</v>
      </c>
      <c r="R687" s="1" t="b">
        <v>0</v>
      </c>
      <c r="T687" s="1">
        <v>197915.0</v>
      </c>
      <c r="U687" s="1" t="b">
        <v>0</v>
      </c>
      <c r="V687" s="1" t="s">
        <v>6167</v>
      </c>
      <c r="W687" s="1" t="s">
        <v>8955</v>
      </c>
      <c r="X687" s="1">
        <v>200.0</v>
      </c>
      <c r="Z687" s="1" t="s">
        <v>440</v>
      </c>
      <c r="AA687" s="1" t="s">
        <v>8964</v>
      </c>
      <c r="AE687" s="6" t="s">
        <v>8974</v>
      </c>
      <c r="AG687" s="5">
        <v>44589.0</v>
      </c>
    </row>
    <row r="688">
      <c r="A688" s="1">
        <v>469467.0</v>
      </c>
      <c r="B688" s="1">
        <v>0.0</v>
      </c>
      <c r="C688" s="1" t="s">
        <v>8975</v>
      </c>
      <c r="D688" s="1" t="s">
        <v>5068</v>
      </c>
      <c r="F688" s="1" t="s">
        <v>8976</v>
      </c>
      <c r="G688" s="1" t="s">
        <v>26</v>
      </c>
      <c r="H688" s="1" t="s">
        <v>5102</v>
      </c>
      <c r="I688" s="1" t="s">
        <v>18</v>
      </c>
      <c r="J688" s="1" t="s">
        <v>5071</v>
      </c>
      <c r="K688" s="6" t="s">
        <v>8977</v>
      </c>
      <c r="L688" s="6" t="s">
        <v>8978</v>
      </c>
      <c r="M688" s="1" t="s">
        <v>8979</v>
      </c>
      <c r="R688" s="1" t="b">
        <v>0</v>
      </c>
      <c r="T688" s="1">
        <v>82.0</v>
      </c>
      <c r="U688" s="1" t="b">
        <v>0</v>
      </c>
      <c r="V688" s="1" t="s">
        <v>6004</v>
      </c>
      <c r="W688" s="1" t="s">
        <v>8980</v>
      </c>
      <c r="X688" s="1">
        <v>200.0</v>
      </c>
      <c r="Z688" s="1" t="s">
        <v>6145</v>
      </c>
      <c r="AE688" s="6" t="s">
        <v>8981</v>
      </c>
      <c r="AG688" s="5">
        <v>44589.0</v>
      </c>
    </row>
    <row r="689">
      <c r="A689" s="1">
        <v>469468.0</v>
      </c>
      <c r="B689" s="1">
        <v>0.0</v>
      </c>
      <c r="C689" s="1" t="s">
        <v>8982</v>
      </c>
      <c r="D689" s="1" t="s">
        <v>5081</v>
      </c>
      <c r="F689" s="1" t="s">
        <v>8983</v>
      </c>
      <c r="G689" s="1" t="s">
        <v>26</v>
      </c>
      <c r="H689" s="1" t="s">
        <v>5102</v>
      </c>
      <c r="I689" s="1" t="s">
        <v>18</v>
      </c>
      <c r="J689" s="1" t="s">
        <v>5071</v>
      </c>
      <c r="K689" s="6" t="s">
        <v>8984</v>
      </c>
      <c r="L689" s="6" t="s">
        <v>8985</v>
      </c>
      <c r="M689" s="1" t="s">
        <v>8986</v>
      </c>
      <c r="R689" s="1" t="b">
        <v>0</v>
      </c>
      <c r="T689" s="1">
        <v>82.0</v>
      </c>
      <c r="U689" s="1" t="b">
        <v>0</v>
      </c>
      <c r="V689" s="1" t="s">
        <v>6004</v>
      </c>
      <c r="W689" s="1" t="s">
        <v>8980</v>
      </c>
      <c r="X689" s="1">
        <v>200.0</v>
      </c>
      <c r="Z689" s="1" t="s">
        <v>6145</v>
      </c>
      <c r="AA689" s="1" t="s">
        <v>8976</v>
      </c>
      <c r="AE689" s="6" t="s">
        <v>8987</v>
      </c>
      <c r="AG689" s="5">
        <v>44589.0</v>
      </c>
    </row>
    <row r="690">
      <c r="A690" s="1">
        <v>469469.0</v>
      </c>
      <c r="B690" s="1">
        <v>0.0</v>
      </c>
      <c r="C690" s="1" t="s">
        <v>8988</v>
      </c>
      <c r="D690" s="1" t="s">
        <v>5068</v>
      </c>
      <c r="F690" s="1" t="s">
        <v>8989</v>
      </c>
      <c r="G690" s="1" t="s">
        <v>26</v>
      </c>
      <c r="H690" s="1" t="s">
        <v>5102</v>
      </c>
      <c r="I690" s="1" t="s">
        <v>18</v>
      </c>
      <c r="J690" s="1" t="s">
        <v>5071</v>
      </c>
      <c r="K690" s="6" t="s">
        <v>8990</v>
      </c>
      <c r="L690" s="6" t="s">
        <v>8991</v>
      </c>
      <c r="M690" s="1" t="s">
        <v>8992</v>
      </c>
      <c r="R690" s="1" t="b">
        <v>0</v>
      </c>
      <c r="T690" s="1">
        <v>82.0</v>
      </c>
      <c r="U690" s="1" t="b">
        <v>0</v>
      </c>
      <c r="V690" s="1" t="s">
        <v>6004</v>
      </c>
      <c r="W690" s="1" t="s">
        <v>8993</v>
      </c>
      <c r="X690" s="1">
        <v>200.0</v>
      </c>
      <c r="Z690" s="1" t="s">
        <v>6145</v>
      </c>
      <c r="AE690" s="6" t="s">
        <v>8994</v>
      </c>
      <c r="AG690" s="5">
        <v>44589.0</v>
      </c>
    </row>
    <row r="691">
      <c r="A691" s="1">
        <v>469470.0</v>
      </c>
      <c r="B691" s="1">
        <v>0.0</v>
      </c>
      <c r="C691" s="1" t="s">
        <v>8995</v>
      </c>
      <c r="D691" s="1" t="s">
        <v>5081</v>
      </c>
      <c r="F691" s="1" t="s">
        <v>8996</v>
      </c>
      <c r="G691" s="1" t="s">
        <v>26</v>
      </c>
      <c r="H691" s="1" t="s">
        <v>5102</v>
      </c>
      <c r="I691" s="1" t="s">
        <v>18</v>
      </c>
      <c r="J691" s="1" t="s">
        <v>5071</v>
      </c>
      <c r="K691" s="6" t="s">
        <v>8997</v>
      </c>
      <c r="L691" s="6" t="s">
        <v>8998</v>
      </c>
      <c r="M691" s="1" t="s">
        <v>8999</v>
      </c>
      <c r="R691" s="1" t="b">
        <v>0</v>
      </c>
      <c r="T691" s="1">
        <v>82.0</v>
      </c>
      <c r="U691" s="1" t="b">
        <v>0</v>
      </c>
      <c r="V691" s="1" t="s">
        <v>6004</v>
      </c>
      <c r="W691" s="1" t="s">
        <v>8993</v>
      </c>
      <c r="X691" s="1">
        <v>200.0</v>
      </c>
      <c r="Z691" s="1" t="s">
        <v>6145</v>
      </c>
      <c r="AA691" s="1" t="s">
        <v>8989</v>
      </c>
      <c r="AE691" s="6" t="s">
        <v>9000</v>
      </c>
      <c r="AG691" s="5">
        <v>44589.0</v>
      </c>
    </row>
    <row r="692">
      <c r="A692" s="1">
        <v>469471.0</v>
      </c>
      <c r="B692" s="1">
        <v>0.0</v>
      </c>
      <c r="C692" s="1" t="s">
        <v>9001</v>
      </c>
      <c r="D692" s="1" t="s">
        <v>5068</v>
      </c>
      <c r="F692" s="1" t="s">
        <v>9002</v>
      </c>
      <c r="G692" s="1" t="s">
        <v>26</v>
      </c>
      <c r="H692" s="1" t="s">
        <v>5102</v>
      </c>
      <c r="I692" s="1" t="s">
        <v>18</v>
      </c>
      <c r="J692" s="1" t="s">
        <v>5071</v>
      </c>
      <c r="K692" s="6" t="s">
        <v>9003</v>
      </c>
      <c r="L692" s="6" t="s">
        <v>9004</v>
      </c>
      <c r="M692" s="1" t="s">
        <v>9005</v>
      </c>
      <c r="R692" s="1" t="b">
        <v>0</v>
      </c>
      <c r="T692" s="1">
        <v>469099.0</v>
      </c>
      <c r="U692" s="1" t="b">
        <v>0</v>
      </c>
      <c r="V692" s="1" t="s">
        <v>5372</v>
      </c>
      <c r="W692" s="1" t="s">
        <v>9006</v>
      </c>
      <c r="X692" s="1">
        <v>200.0</v>
      </c>
      <c r="Y692" s="1" t="s">
        <v>5075</v>
      </c>
      <c r="Z692" s="1" t="s">
        <v>9007</v>
      </c>
      <c r="AE692" s="6" t="s">
        <v>9008</v>
      </c>
      <c r="AG692" s="5">
        <v>44589.0</v>
      </c>
    </row>
    <row r="693">
      <c r="A693" s="1">
        <v>469472.0</v>
      </c>
      <c r="B693" s="1">
        <v>0.0</v>
      </c>
      <c r="C693" s="1" t="s">
        <v>9009</v>
      </c>
      <c r="D693" s="1" t="s">
        <v>5081</v>
      </c>
      <c r="F693" s="1" t="s">
        <v>9010</v>
      </c>
      <c r="G693" s="1" t="s">
        <v>26</v>
      </c>
      <c r="H693" s="1" t="s">
        <v>5102</v>
      </c>
      <c r="I693" s="1" t="s">
        <v>18</v>
      </c>
      <c r="J693" s="1" t="s">
        <v>5071</v>
      </c>
      <c r="K693" s="6" t="s">
        <v>9011</v>
      </c>
      <c r="L693" s="6" t="s">
        <v>9012</v>
      </c>
      <c r="M693" s="1" t="s">
        <v>9013</v>
      </c>
      <c r="R693" s="1" t="b">
        <v>0</v>
      </c>
      <c r="T693" s="1">
        <v>469099.0</v>
      </c>
      <c r="U693" s="1" t="b">
        <v>0</v>
      </c>
      <c r="V693" s="1" t="s">
        <v>5372</v>
      </c>
      <c r="W693" s="1" t="s">
        <v>9006</v>
      </c>
      <c r="X693" s="1">
        <v>200.0</v>
      </c>
      <c r="Z693" s="1" t="s">
        <v>9007</v>
      </c>
      <c r="AA693" s="1" t="s">
        <v>9002</v>
      </c>
      <c r="AE693" s="6" t="s">
        <v>9014</v>
      </c>
      <c r="AG693" s="5">
        <v>44589.0</v>
      </c>
    </row>
    <row r="694">
      <c r="A694" s="1">
        <v>469505.0</v>
      </c>
      <c r="B694" s="1">
        <v>0.0</v>
      </c>
      <c r="C694" s="1" t="s">
        <v>9015</v>
      </c>
      <c r="D694" s="1" t="s">
        <v>5068</v>
      </c>
      <c r="F694" s="1" t="s">
        <v>9016</v>
      </c>
      <c r="G694" s="1" t="s">
        <v>26</v>
      </c>
      <c r="H694" s="1" t="s">
        <v>5102</v>
      </c>
      <c r="I694" s="1" t="s">
        <v>18</v>
      </c>
      <c r="J694" s="1" t="s">
        <v>5071</v>
      </c>
      <c r="K694" s="6" t="s">
        <v>9017</v>
      </c>
      <c r="L694" s="6" t="s">
        <v>9018</v>
      </c>
      <c r="M694" s="1" t="s">
        <v>9019</v>
      </c>
      <c r="O694" s="5">
        <v>31617.0</v>
      </c>
      <c r="R694" s="1" t="b">
        <v>0</v>
      </c>
      <c r="T694" s="1">
        <v>3756.0</v>
      </c>
      <c r="U694" s="1" t="b">
        <v>0</v>
      </c>
      <c r="V694" s="1" t="s">
        <v>5663</v>
      </c>
      <c r="W694" s="1" t="s">
        <v>9020</v>
      </c>
      <c r="X694" s="1">
        <v>200.0</v>
      </c>
      <c r="Y694" s="1" t="s">
        <v>5075</v>
      </c>
      <c r="Z694" s="1" t="s">
        <v>5076</v>
      </c>
      <c r="AE694" s="6" t="s">
        <v>9021</v>
      </c>
      <c r="AG694" s="5">
        <v>44589.0</v>
      </c>
    </row>
    <row r="695">
      <c r="A695" s="1">
        <v>469506.0</v>
      </c>
      <c r="B695" s="1">
        <v>0.0</v>
      </c>
      <c r="C695" s="1" t="s">
        <v>9022</v>
      </c>
      <c r="D695" s="1" t="s">
        <v>5081</v>
      </c>
      <c r="F695" s="1" t="s">
        <v>9023</v>
      </c>
      <c r="G695" s="1" t="s">
        <v>26</v>
      </c>
      <c r="H695" s="1" t="s">
        <v>5102</v>
      </c>
      <c r="I695" s="1" t="s">
        <v>18</v>
      </c>
      <c r="J695" s="1" t="s">
        <v>5071</v>
      </c>
      <c r="K695" s="6" t="s">
        <v>9024</v>
      </c>
      <c r="L695" s="6" t="s">
        <v>9025</v>
      </c>
      <c r="M695" s="1" t="s">
        <v>9026</v>
      </c>
      <c r="O695" s="5">
        <v>31617.0</v>
      </c>
      <c r="R695" s="1" t="b">
        <v>0</v>
      </c>
      <c r="T695" s="1">
        <v>3756.0</v>
      </c>
      <c r="U695" s="1" t="b">
        <v>0</v>
      </c>
      <c r="V695" s="1" t="s">
        <v>5663</v>
      </c>
      <c r="W695" s="1" t="s">
        <v>9020</v>
      </c>
      <c r="X695" s="1">
        <v>200.0</v>
      </c>
      <c r="Z695" s="1" t="s">
        <v>5076</v>
      </c>
      <c r="AA695" s="1" t="s">
        <v>9016</v>
      </c>
      <c r="AE695" s="6" t="s">
        <v>9027</v>
      </c>
      <c r="AG695" s="5">
        <v>44589.0</v>
      </c>
    </row>
    <row r="696">
      <c r="A696" s="1">
        <v>469511.0</v>
      </c>
      <c r="B696" s="1">
        <v>0.0</v>
      </c>
      <c r="C696" s="1" t="s">
        <v>9028</v>
      </c>
      <c r="D696" s="1" t="s">
        <v>5068</v>
      </c>
      <c r="F696" s="1" t="s">
        <v>9029</v>
      </c>
      <c r="G696" s="1" t="s">
        <v>26</v>
      </c>
      <c r="H696" s="1" t="s">
        <v>5102</v>
      </c>
      <c r="I696" s="1" t="s">
        <v>18</v>
      </c>
      <c r="J696" s="1" t="s">
        <v>5071</v>
      </c>
      <c r="K696" s="6" t="s">
        <v>9030</v>
      </c>
      <c r="L696" s="6" t="s">
        <v>9031</v>
      </c>
      <c r="M696" s="1" t="s">
        <v>9032</v>
      </c>
      <c r="O696" s="5">
        <v>42643.0</v>
      </c>
      <c r="R696" s="1" t="b">
        <v>0</v>
      </c>
      <c r="T696" s="1">
        <v>383.0</v>
      </c>
      <c r="U696" s="1" t="b">
        <v>0</v>
      </c>
      <c r="V696" s="1" t="s">
        <v>9033</v>
      </c>
      <c r="W696" s="1" t="s">
        <v>9034</v>
      </c>
      <c r="X696" s="1">
        <v>200.0</v>
      </c>
      <c r="Z696" s="1" t="s">
        <v>9035</v>
      </c>
      <c r="AE696" s="6" t="s">
        <v>9036</v>
      </c>
      <c r="AG696" s="5">
        <v>44589.0</v>
      </c>
    </row>
    <row r="697">
      <c r="A697" s="1">
        <v>469512.0</v>
      </c>
      <c r="B697" s="1">
        <v>0.0</v>
      </c>
      <c r="C697" s="1" t="s">
        <v>9037</v>
      </c>
      <c r="D697" s="1" t="s">
        <v>5081</v>
      </c>
      <c r="F697" s="1" t="s">
        <v>9038</v>
      </c>
      <c r="G697" s="1" t="s">
        <v>26</v>
      </c>
      <c r="H697" s="1" t="s">
        <v>5102</v>
      </c>
      <c r="I697" s="1" t="s">
        <v>18</v>
      </c>
      <c r="J697" s="1" t="s">
        <v>5071</v>
      </c>
      <c r="K697" s="6" t="s">
        <v>9039</v>
      </c>
      <c r="L697" s="6" t="s">
        <v>9040</v>
      </c>
      <c r="M697" s="1" t="s">
        <v>9041</v>
      </c>
      <c r="O697" s="5">
        <v>42643.0</v>
      </c>
      <c r="R697" s="1" t="b">
        <v>0</v>
      </c>
      <c r="T697" s="1">
        <v>383.0</v>
      </c>
      <c r="U697" s="1" t="b">
        <v>0</v>
      </c>
      <c r="V697" s="1" t="s">
        <v>9033</v>
      </c>
      <c r="W697" s="1" t="s">
        <v>9034</v>
      </c>
      <c r="X697" s="1">
        <v>200.0</v>
      </c>
      <c r="Z697" s="1" t="s">
        <v>9035</v>
      </c>
      <c r="AA697" s="1" t="s">
        <v>9029</v>
      </c>
      <c r="AE697" s="6" t="s">
        <v>9042</v>
      </c>
      <c r="AG697" s="5">
        <v>44589.0</v>
      </c>
    </row>
    <row r="698">
      <c r="A698" s="1">
        <v>469915.0</v>
      </c>
      <c r="B698" s="1">
        <v>0.0</v>
      </c>
      <c r="C698" s="1" t="s">
        <v>715</v>
      </c>
      <c r="D698" s="1" t="s">
        <v>5068</v>
      </c>
      <c r="F698" s="1" t="s">
        <v>716</v>
      </c>
      <c r="G698" s="1" t="s">
        <v>26</v>
      </c>
      <c r="H698" s="1" t="s">
        <v>5102</v>
      </c>
      <c r="I698" s="1" t="s">
        <v>516</v>
      </c>
      <c r="J698" s="1" t="s">
        <v>202</v>
      </c>
      <c r="K698" s="6" t="s">
        <v>9043</v>
      </c>
      <c r="L698" s="6" t="s">
        <v>9044</v>
      </c>
      <c r="M698" s="1" t="s">
        <v>9045</v>
      </c>
      <c r="O698" s="5">
        <v>44594.0</v>
      </c>
      <c r="R698" s="1" t="b">
        <v>0</v>
      </c>
      <c r="U698" s="1" t="b">
        <v>1</v>
      </c>
      <c r="V698" s="1" t="s">
        <v>6982</v>
      </c>
      <c r="X698" s="1">
        <v>200.0</v>
      </c>
      <c r="Y698" s="1" t="s">
        <v>5075</v>
      </c>
      <c r="AG698" s="5">
        <v>44594.0</v>
      </c>
    </row>
    <row r="699">
      <c r="A699" s="1">
        <v>469916.0</v>
      </c>
      <c r="B699" s="1">
        <v>0.0</v>
      </c>
      <c r="C699" s="1" t="s">
        <v>9046</v>
      </c>
      <c r="D699" s="1" t="s">
        <v>5081</v>
      </c>
      <c r="F699" s="1" t="s">
        <v>9047</v>
      </c>
      <c r="G699" s="1" t="s">
        <v>26</v>
      </c>
      <c r="H699" s="1" t="s">
        <v>5102</v>
      </c>
      <c r="I699" s="1" t="s">
        <v>516</v>
      </c>
      <c r="J699" s="1" t="s">
        <v>202</v>
      </c>
      <c r="K699" s="6" t="s">
        <v>9048</v>
      </c>
      <c r="L699" s="6" t="s">
        <v>9049</v>
      </c>
      <c r="M699" s="1" t="s">
        <v>9050</v>
      </c>
      <c r="O699" s="5">
        <v>44594.0</v>
      </c>
      <c r="R699" s="1" t="b">
        <v>0</v>
      </c>
      <c r="U699" s="1" t="b">
        <v>1</v>
      </c>
      <c r="V699" s="1" t="s">
        <v>6982</v>
      </c>
      <c r="X699" s="1">
        <v>200.0</v>
      </c>
      <c r="AA699" s="1" t="s">
        <v>716</v>
      </c>
      <c r="AG699" s="5">
        <v>44594.0</v>
      </c>
    </row>
    <row r="700">
      <c r="A700" s="1">
        <v>485363.0</v>
      </c>
      <c r="B700" s="1">
        <v>1.0</v>
      </c>
      <c r="C700" s="1" t="s">
        <v>663</v>
      </c>
      <c r="D700" s="1" t="s">
        <v>5068</v>
      </c>
      <c r="F700" s="1" t="s">
        <v>662</v>
      </c>
      <c r="G700" s="1" t="s">
        <v>26</v>
      </c>
      <c r="H700" s="1" t="s">
        <v>5102</v>
      </c>
      <c r="I700" s="1" t="s">
        <v>18</v>
      </c>
      <c r="J700" s="1" t="s">
        <v>70</v>
      </c>
      <c r="K700" s="6" t="s">
        <v>9051</v>
      </c>
      <c r="L700" s="6" t="s">
        <v>9052</v>
      </c>
      <c r="M700" s="1" t="s">
        <v>9053</v>
      </c>
      <c r="O700" s="5">
        <v>44632.0</v>
      </c>
      <c r="P700" s="5">
        <v>44617.0</v>
      </c>
      <c r="R700" s="1" t="b">
        <v>0</v>
      </c>
      <c r="T700" s="1">
        <v>27.0</v>
      </c>
      <c r="U700" s="1" t="b">
        <v>1</v>
      </c>
      <c r="V700" s="1" t="s">
        <v>9054</v>
      </c>
      <c r="W700" s="1" t="s">
        <v>9055</v>
      </c>
      <c r="X700" s="1">
        <v>200.0</v>
      </c>
      <c r="Y700" s="1" t="s">
        <v>5075</v>
      </c>
      <c r="Z700" s="1" t="s">
        <v>3832</v>
      </c>
      <c r="AB700" s="1" t="s">
        <v>660</v>
      </c>
      <c r="AC700" s="1" t="s">
        <v>5077</v>
      </c>
      <c r="AD700" s="1" t="s">
        <v>5093</v>
      </c>
      <c r="AE700" s="6" t="s">
        <v>9056</v>
      </c>
      <c r="AG700" s="5">
        <v>44628.0</v>
      </c>
      <c r="AH700" s="1">
        <v>345776.0</v>
      </c>
    </row>
    <row r="701">
      <c r="A701" s="1">
        <v>491722.0</v>
      </c>
      <c r="B701" s="1">
        <v>0.0</v>
      </c>
      <c r="C701" s="1" t="s">
        <v>577</v>
      </c>
      <c r="D701" s="1" t="s">
        <v>5068</v>
      </c>
      <c r="E701" s="5">
        <v>44805.0</v>
      </c>
      <c r="F701" s="1" t="s">
        <v>576</v>
      </c>
      <c r="G701" s="1" t="s">
        <v>5122</v>
      </c>
      <c r="H701" s="1" t="s">
        <v>5116</v>
      </c>
      <c r="I701" s="1" t="s">
        <v>18</v>
      </c>
      <c r="J701" s="1" t="s">
        <v>5071</v>
      </c>
      <c r="K701" s="6" t="s">
        <v>9057</v>
      </c>
      <c r="L701" s="6" t="s">
        <v>9058</v>
      </c>
      <c r="M701" s="1" t="s">
        <v>9059</v>
      </c>
      <c r="O701" s="5">
        <v>44470.0</v>
      </c>
      <c r="P701" s="5">
        <v>44470.0</v>
      </c>
      <c r="R701" s="1" t="b">
        <v>0</v>
      </c>
      <c r="U701" s="1" t="b">
        <v>1</v>
      </c>
      <c r="V701" s="1" t="s">
        <v>5132</v>
      </c>
      <c r="W701" s="1" t="s">
        <v>8329</v>
      </c>
      <c r="X701" s="1">
        <v>200.0</v>
      </c>
      <c r="Y701" s="1" t="s">
        <v>5075</v>
      </c>
      <c r="AB701" s="1" t="s">
        <v>574</v>
      </c>
      <c r="AE701" s="6" t="s">
        <v>9060</v>
      </c>
      <c r="AG701" s="5">
        <v>44664.0</v>
      </c>
    </row>
    <row r="702">
      <c r="A702" s="1">
        <v>491723.0</v>
      </c>
      <c r="B702" s="1">
        <v>0.0</v>
      </c>
      <c r="C702" s="1" t="s">
        <v>9061</v>
      </c>
      <c r="D702" s="1" t="s">
        <v>5081</v>
      </c>
      <c r="E702" s="5">
        <v>44805.0</v>
      </c>
      <c r="F702" s="1" t="s">
        <v>9062</v>
      </c>
      <c r="G702" s="1" t="s">
        <v>5122</v>
      </c>
      <c r="H702" s="1" t="s">
        <v>5116</v>
      </c>
      <c r="I702" s="1" t="s">
        <v>18</v>
      </c>
      <c r="J702" s="1" t="s">
        <v>5071</v>
      </c>
      <c r="K702" s="6" t="s">
        <v>9063</v>
      </c>
      <c r="L702" s="6" t="s">
        <v>9064</v>
      </c>
      <c r="M702" s="1" t="s">
        <v>9065</v>
      </c>
      <c r="O702" s="5">
        <v>44470.0</v>
      </c>
      <c r="P702" s="5">
        <v>44470.0</v>
      </c>
      <c r="R702" s="1" t="b">
        <v>0</v>
      </c>
      <c r="U702" s="1" t="b">
        <v>1</v>
      </c>
      <c r="V702" s="1" t="s">
        <v>5132</v>
      </c>
      <c r="W702" s="1" t="s">
        <v>8329</v>
      </c>
      <c r="X702" s="1">
        <v>200.0</v>
      </c>
      <c r="AA702" s="1" t="s">
        <v>576</v>
      </c>
      <c r="AB702" s="1" t="s">
        <v>9066</v>
      </c>
      <c r="AE702" s="6" t="s">
        <v>9067</v>
      </c>
      <c r="AG702" s="5">
        <v>44664.0</v>
      </c>
    </row>
    <row r="703">
      <c r="A703" s="1">
        <v>491730.0</v>
      </c>
      <c r="B703" s="1">
        <v>0.0</v>
      </c>
      <c r="C703" s="1" t="s">
        <v>578</v>
      </c>
      <c r="D703" s="1" t="s">
        <v>5068</v>
      </c>
      <c r="F703" s="1" t="s">
        <v>581</v>
      </c>
      <c r="G703" s="1" t="s">
        <v>5122</v>
      </c>
      <c r="H703" s="1" t="s">
        <v>5116</v>
      </c>
      <c r="I703" s="1" t="s">
        <v>18</v>
      </c>
      <c r="J703" s="1" t="s">
        <v>5071</v>
      </c>
      <c r="K703" s="6" t="s">
        <v>9068</v>
      </c>
      <c r="L703" s="6" t="s">
        <v>9069</v>
      </c>
      <c r="M703" s="1" t="s">
        <v>9070</v>
      </c>
      <c r="O703" s="5">
        <v>44470.0</v>
      </c>
      <c r="P703" s="5">
        <v>44470.0</v>
      </c>
      <c r="R703" s="1" t="b">
        <v>0</v>
      </c>
      <c r="U703" s="1" t="b">
        <v>1</v>
      </c>
      <c r="V703" s="1" t="s">
        <v>5132</v>
      </c>
      <c r="W703" s="1" t="s">
        <v>8329</v>
      </c>
      <c r="X703" s="1">
        <v>200.0</v>
      </c>
      <c r="Y703" s="1" t="s">
        <v>5075</v>
      </c>
      <c r="AB703" s="1" t="s">
        <v>579</v>
      </c>
      <c r="AE703" s="6" t="s">
        <v>9071</v>
      </c>
      <c r="AG703" s="5">
        <v>44664.0</v>
      </c>
    </row>
    <row r="704">
      <c r="A704" s="1">
        <v>491731.0</v>
      </c>
      <c r="B704" s="1">
        <v>0.0</v>
      </c>
      <c r="C704" s="1" t="s">
        <v>9072</v>
      </c>
      <c r="D704" s="1" t="s">
        <v>5081</v>
      </c>
      <c r="F704" s="1" t="s">
        <v>9073</v>
      </c>
      <c r="G704" s="1" t="s">
        <v>5122</v>
      </c>
      <c r="H704" s="1" t="s">
        <v>5116</v>
      </c>
      <c r="I704" s="1" t="s">
        <v>18</v>
      </c>
      <c r="J704" s="1" t="s">
        <v>5071</v>
      </c>
      <c r="K704" s="6" t="s">
        <v>9074</v>
      </c>
      <c r="L704" s="6" t="s">
        <v>9075</v>
      </c>
      <c r="M704" s="1" t="s">
        <v>9076</v>
      </c>
      <c r="O704" s="5">
        <v>44470.0</v>
      </c>
      <c r="P704" s="5">
        <v>44470.0</v>
      </c>
      <c r="R704" s="1" t="b">
        <v>0</v>
      </c>
      <c r="U704" s="1" t="b">
        <v>1</v>
      </c>
      <c r="V704" s="1" t="s">
        <v>5132</v>
      </c>
      <c r="W704" s="1" t="s">
        <v>8329</v>
      </c>
      <c r="X704" s="1">
        <v>200.0</v>
      </c>
      <c r="AA704" s="1" t="s">
        <v>581</v>
      </c>
      <c r="AB704" s="1" t="s">
        <v>9077</v>
      </c>
      <c r="AE704" s="6" t="s">
        <v>9078</v>
      </c>
      <c r="AG704" s="5">
        <v>44664.0</v>
      </c>
    </row>
    <row r="705">
      <c r="A705" s="1">
        <v>496977.0</v>
      </c>
      <c r="B705" s="1">
        <v>0.0</v>
      </c>
      <c r="C705" s="1" t="s">
        <v>524</v>
      </c>
      <c r="D705" s="1" t="s">
        <v>5068</v>
      </c>
      <c r="F705" s="1" t="s">
        <v>531</v>
      </c>
      <c r="G705" s="1" t="s">
        <v>26</v>
      </c>
      <c r="H705" s="1" t="s">
        <v>5102</v>
      </c>
      <c r="I705" s="1" t="s">
        <v>52</v>
      </c>
      <c r="J705" s="1" t="s">
        <v>5071</v>
      </c>
      <c r="K705" s="6" t="s">
        <v>9079</v>
      </c>
      <c r="L705" s="6" t="s">
        <v>9080</v>
      </c>
      <c r="M705" s="1" t="s">
        <v>9081</v>
      </c>
      <c r="O705" s="5">
        <v>44678.0</v>
      </c>
      <c r="P705" s="5">
        <v>44927.0</v>
      </c>
      <c r="Q705" s="5">
        <v>48579.0</v>
      </c>
      <c r="R705" s="1" t="b">
        <v>0</v>
      </c>
      <c r="T705" s="1">
        <v>197915.0</v>
      </c>
      <c r="U705" s="1" t="b">
        <v>1</v>
      </c>
      <c r="V705" s="1" t="s">
        <v>5182</v>
      </c>
      <c r="W705" s="1" t="s">
        <v>9082</v>
      </c>
      <c r="X705" s="1">
        <v>200.0</v>
      </c>
      <c r="Y705" s="1" t="s">
        <v>5075</v>
      </c>
      <c r="Z705" s="1" t="s">
        <v>440</v>
      </c>
      <c r="AE705" s="6" t="s">
        <v>9083</v>
      </c>
      <c r="AF705" s="6" t="s">
        <v>9084</v>
      </c>
      <c r="AG705" s="5">
        <v>44679.0</v>
      </c>
    </row>
    <row r="706">
      <c r="A706" s="1">
        <v>496978.0</v>
      </c>
      <c r="B706" s="1">
        <v>0.0</v>
      </c>
      <c r="C706" s="1" t="s">
        <v>9085</v>
      </c>
      <c r="D706" s="1" t="s">
        <v>5081</v>
      </c>
      <c r="F706" s="1" t="s">
        <v>9086</v>
      </c>
      <c r="G706" s="1" t="s">
        <v>26</v>
      </c>
      <c r="H706" s="1" t="s">
        <v>5102</v>
      </c>
      <c r="I706" s="1" t="s">
        <v>52</v>
      </c>
      <c r="J706" s="1" t="s">
        <v>5071</v>
      </c>
      <c r="K706" s="6" t="s">
        <v>9087</v>
      </c>
      <c r="L706" s="6" t="s">
        <v>9088</v>
      </c>
      <c r="M706" s="1" t="s">
        <v>9089</v>
      </c>
      <c r="O706" s="5">
        <v>44678.0</v>
      </c>
      <c r="P706" s="5">
        <v>44927.0</v>
      </c>
      <c r="Q706" s="5">
        <v>48579.0</v>
      </c>
      <c r="R706" s="1" t="b">
        <v>0</v>
      </c>
      <c r="T706" s="1">
        <v>197915.0</v>
      </c>
      <c r="U706" s="1" t="b">
        <v>1</v>
      </c>
      <c r="V706" s="1" t="s">
        <v>5182</v>
      </c>
      <c r="W706" s="1" t="s">
        <v>9082</v>
      </c>
      <c r="X706" s="1">
        <v>200.0</v>
      </c>
      <c r="Z706" s="1" t="s">
        <v>440</v>
      </c>
      <c r="AA706" s="1" t="s">
        <v>531</v>
      </c>
      <c r="AE706" s="6" t="s">
        <v>9090</v>
      </c>
      <c r="AF706" s="6" t="s">
        <v>9084</v>
      </c>
      <c r="AG706" s="5">
        <v>44679.0</v>
      </c>
    </row>
    <row r="707">
      <c r="A707" s="1">
        <v>498678.0</v>
      </c>
      <c r="B707" s="1">
        <v>0.0</v>
      </c>
      <c r="C707" s="1" t="s">
        <v>524</v>
      </c>
      <c r="D707" s="1" t="s">
        <v>5068</v>
      </c>
      <c r="F707" s="1" t="s">
        <v>525</v>
      </c>
      <c r="G707" s="1" t="s">
        <v>26</v>
      </c>
      <c r="H707" s="1" t="s">
        <v>5102</v>
      </c>
      <c r="I707" s="1" t="s">
        <v>52</v>
      </c>
      <c r="J707" s="1" t="s">
        <v>53</v>
      </c>
      <c r="K707" s="6" t="s">
        <v>9091</v>
      </c>
      <c r="L707" s="6" t="s">
        <v>9092</v>
      </c>
      <c r="M707" s="1" t="s">
        <v>9081</v>
      </c>
      <c r="O707" s="5">
        <v>44687.0</v>
      </c>
      <c r="P707" s="5">
        <v>44927.0</v>
      </c>
      <c r="Q707" s="5">
        <v>48579.0</v>
      </c>
      <c r="R707" s="1" t="b">
        <v>0</v>
      </c>
      <c r="T707" s="1">
        <v>170936.0</v>
      </c>
      <c r="U707" s="1" t="b">
        <v>1</v>
      </c>
      <c r="V707" s="1" t="s">
        <v>5182</v>
      </c>
      <c r="W707" s="1" t="s">
        <v>9093</v>
      </c>
      <c r="X707" s="1">
        <v>200.0</v>
      </c>
      <c r="Y707" s="1" t="s">
        <v>5075</v>
      </c>
      <c r="Z707" s="1" t="s">
        <v>8616</v>
      </c>
      <c r="AG707" s="5">
        <v>44692.0</v>
      </c>
    </row>
    <row r="708">
      <c r="A708" s="1">
        <v>499764.0</v>
      </c>
      <c r="B708" s="1">
        <v>0.0</v>
      </c>
      <c r="C708" s="1" t="s">
        <v>514</v>
      </c>
      <c r="D708" s="1" t="s">
        <v>5068</v>
      </c>
      <c r="F708" s="1" t="s">
        <v>515</v>
      </c>
      <c r="G708" s="1" t="s">
        <v>26</v>
      </c>
      <c r="H708" s="1" t="s">
        <v>5102</v>
      </c>
      <c r="I708" s="1" t="s">
        <v>516</v>
      </c>
      <c r="J708" s="1" t="s">
        <v>24</v>
      </c>
      <c r="K708" s="1" t="s">
        <v>5072</v>
      </c>
      <c r="L708" s="6" t="s">
        <v>9094</v>
      </c>
      <c r="M708" s="1" t="s">
        <v>9095</v>
      </c>
      <c r="O708" s="5">
        <v>44691.0</v>
      </c>
      <c r="R708" s="1" t="b">
        <v>0</v>
      </c>
      <c r="U708" s="1" t="b">
        <v>1</v>
      </c>
      <c r="V708" s="1" t="s">
        <v>6982</v>
      </c>
      <c r="X708" s="1">
        <v>408.0</v>
      </c>
      <c r="Y708" s="1" t="s">
        <v>5075</v>
      </c>
      <c r="AE708" s="6" t="s">
        <v>9096</v>
      </c>
      <c r="AG708" s="5">
        <v>44694.0</v>
      </c>
    </row>
    <row r="709">
      <c r="A709" s="1">
        <v>499888.0</v>
      </c>
      <c r="B709" s="1">
        <v>0.0</v>
      </c>
      <c r="C709" s="1" t="s">
        <v>496</v>
      </c>
      <c r="D709" s="1" t="s">
        <v>5068</v>
      </c>
      <c r="F709" s="1" t="s">
        <v>497</v>
      </c>
      <c r="G709" s="1" t="s">
        <v>26</v>
      </c>
      <c r="H709" s="1" t="s">
        <v>5102</v>
      </c>
      <c r="I709" s="1" t="s">
        <v>18</v>
      </c>
      <c r="J709" s="1" t="s">
        <v>202</v>
      </c>
      <c r="K709" s="6" t="s">
        <v>9097</v>
      </c>
      <c r="L709" s="6" t="s">
        <v>9098</v>
      </c>
      <c r="M709" s="1" t="s">
        <v>9099</v>
      </c>
      <c r="O709" s="5">
        <v>44664.0</v>
      </c>
      <c r="P709" s="5">
        <v>44664.0</v>
      </c>
      <c r="R709" s="1" t="b">
        <v>0</v>
      </c>
      <c r="U709" s="1" t="b">
        <v>1</v>
      </c>
      <c r="V709" s="1" t="s">
        <v>5546</v>
      </c>
      <c r="W709" s="1" t="s">
        <v>9100</v>
      </c>
      <c r="X709" s="1">
        <v>200.0</v>
      </c>
      <c r="Y709" s="1" t="s">
        <v>5075</v>
      </c>
      <c r="AE709" s="6" t="s">
        <v>9101</v>
      </c>
      <c r="AF709" s="6" t="s">
        <v>9044</v>
      </c>
      <c r="AG709" s="5">
        <v>44699.0</v>
      </c>
    </row>
    <row r="710">
      <c r="A710" s="1">
        <v>499889.0</v>
      </c>
      <c r="B710" s="1">
        <v>0.0</v>
      </c>
      <c r="C710" s="1" t="s">
        <v>9102</v>
      </c>
      <c r="D710" s="1" t="s">
        <v>5081</v>
      </c>
      <c r="F710" s="1" t="s">
        <v>9103</v>
      </c>
      <c r="G710" s="1" t="s">
        <v>26</v>
      </c>
      <c r="H710" s="1" t="s">
        <v>5102</v>
      </c>
      <c r="I710" s="1" t="s">
        <v>18</v>
      </c>
      <c r="J710" s="1" t="s">
        <v>202</v>
      </c>
      <c r="K710" s="6" t="s">
        <v>9104</v>
      </c>
      <c r="L710" s="6" t="s">
        <v>9105</v>
      </c>
      <c r="M710" s="1" t="s">
        <v>9106</v>
      </c>
      <c r="O710" s="5">
        <v>44664.0</v>
      </c>
      <c r="P710" s="5">
        <v>44664.0</v>
      </c>
      <c r="R710" s="1" t="b">
        <v>0</v>
      </c>
      <c r="U710" s="1" t="b">
        <v>1</v>
      </c>
      <c r="V710" s="1" t="s">
        <v>5546</v>
      </c>
      <c r="W710" s="1" t="s">
        <v>9100</v>
      </c>
      <c r="X710" s="1">
        <v>200.0</v>
      </c>
      <c r="AA710" s="1" t="s">
        <v>497</v>
      </c>
      <c r="AE710" s="6" t="s">
        <v>9107</v>
      </c>
      <c r="AF710" s="6" t="s">
        <v>9049</v>
      </c>
      <c r="AG710" s="5">
        <v>44699.0</v>
      </c>
    </row>
    <row r="711">
      <c r="A711" s="1">
        <v>503642.0</v>
      </c>
      <c r="B711" s="1">
        <v>1.0</v>
      </c>
      <c r="C711" s="1" t="s">
        <v>453</v>
      </c>
      <c r="D711" s="1" t="s">
        <v>5068</v>
      </c>
      <c r="F711" s="1" t="s">
        <v>452</v>
      </c>
      <c r="G711" s="1" t="s">
        <v>5122</v>
      </c>
      <c r="H711" s="1" t="s">
        <v>5102</v>
      </c>
      <c r="I711" s="1" t="s">
        <v>52</v>
      </c>
      <c r="J711" s="1" t="s">
        <v>24</v>
      </c>
      <c r="K711" s="6" t="s">
        <v>9108</v>
      </c>
      <c r="L711" s="6" t="s">
        <v>9109</v>
      </c>
      <c r="M711" s="1" t="s">
        <v>9110</v>
      </c>
      <c r="O711" s="5">
        <v>44714.0</v>
      </c>
      <c r="R711" s="1" t="b">
        <v>0</v>
      </c>
      <c r="U711" s="1" t="b">
        <v>1</v>
      </c>
      <c r="V711" s="1" t="s">
        <v>9111</v>
      </c>
      <c r="W711" s="1" t="s">
        <v>9112</v>
      </c>
      <c r="X711" s="1">
        <v>200.0</v>
      </c>
      <c r="Y711" s="1" t="s">
        <v>5075</v>
      </c>
      <c r="AB711" s="1" t="s">
        <v>450</v>
      </c>
      <c r="AE711" s="6" t="s">
        <v>9113</v>
      </c>
      <c r="AF711" s="6" t="s">
        <v>9114</v>
      </c>
      <c r="AG711" s="5">
        <v>44719.0</v>
      </c>
    </row>
    <row r="712">
      <c r="A712" s="1">
        <v>507262.0</v>
      </c>
      <c r="B712" s="1">
        <v>0.0</v>
      </c>
      <c r="C712" s="1" t="s">
        <v>9115</v>
      </c>
      <c r="D712" s="1" t="s">
        <v>5068</v>
      </c>
      <c r="F712" s="1" t="s">
        <v>393</v>
      </c>
      <c r="G712" s="1" t="s">
        <v>5136</v>
      </c>
      <c r="H712" s="1" t="s">
        <v>5102</v>
      </c>
      <c r="I712" s="1" t="s">
        <v>7579</v>
      </c>
      <c r="J712" s="1" t="s">
        <v>5071</v>
      </c>
      <c r="K712" s="6" t="s">
        <v>9116</v>
      </c>
      <c r="L712" s="6" t="s">
        <v>9117</v>
      </c>
      <c r="M712" s="1" t="s">
        <v>9118</v>
      </c>
      <c r="O712" s="5">
        <v>44729.0</v>
      </c>
      <c r="R712" s="1" t="b">
        <v>0</v>
      </c>
      <c r="U712" s="1" t="b">
        <v>1</v>
      </c>
      <c r="V712" s="1" t="s">
        <v>5379</v>
      </c>
      <c r="W712" s="1" t="s">
        <v>9119</v>
      </c>
      <c r="X712" s="1">
        <v>200.0</v>
      </c>
      <c r="Y712" s="1" t="s">
        <v>5075</v>
      </c>
      <c r="AE712" s="6" t="s">
        <v>9120</v>
      </c>
      <c r="AG712" s="5">
        <v>44734.0</v>
      </c>
    </row>
    <row r="713">
      <c r="A713" s="1">
        <v>507263.0</v>
      </c>
      <c r="B713" s="1">
        <v>0.0</v>
      </c>
      <c r="C713" s="1" t="s">
        <v>9121</v>
      </c>
      <c r="D713" s="1" t="s">
        <v>5081</v>
      </c>
      <c r="F713" s="1" t="s">
        <v>9122</v>
      </c>
      <c r="G713" s="1" t="s">
        <v>5136</v>
      </c>
      <c r="H713" s="1" t="s">
        <v>5102</v>
      </c>
      <c r="I713" s="1" t="s">
        <v>7579</v>
      </c>
      <c r="J713" s="1" t="s">
        <v>5071</v>
      </c>
      <c r="K713" s="6" t="s">
        <v>9123</v>
      </c>
      <c r="L713" s="6" t="s">
        <v>9124</v>
      </c>
      <c r="M713" s="1" t="s">
        <v>9125</v>
      </c>
      <c r="O713" s="5">
        <v>44729.0</v>
      </c>
      <c r="R713" s="1" t="b">
        <v>0</v>
      </c>
      <c r="U713" s="1" t="b">
        <v>1</v>
      </c>
      <c r="V713" s="1" t="s">
        <v>5379</v>
      </c>
      <c r="W713" s="1" t="s">
        <v>9119</v>
      </c>
      <c r="X713" s="1">
        <v>200.0</v>
      </c>
      <c r="Y713" s="1" t="s">
        <v>5075</v>
      </c>
      <c r="AA713" s="1" t="s">
        <v>393</v>
      </c>
      <c r="AE713" s="6" t="s">
        <v>9120</v>
      </c>
      <c r="AG713" s="5">
        <v>44734.0</v>
      </c>
    </row>
    <row r="714">
      <c r="A714" s="1">
        <v>512185.0</v>
      </c>
      <c r="B714" s="1">
        <v>1.0</v>
      </c>
      <c r="C714" s="1" t="s">
        <v>369</v>
      </c>
      <c r="D714" s="1" t="s">
        <v>5068</v>
      </c>
      <c r="F714" s="1" t="s">
        <v>368</v>
      </c>
      <c r="G714" s="1" t="s">
        <v>5122</v>
      </c>
      <c r="H714" s="1" t="s">
        <v>5102</v>
      </c>
      <c r="I714" s="1" t="s">
        <v>18</v>
      </c>
      <c r="J714" s="1" t="s">
        <v>5071</v>
      </c>
      <c r="K714" s="6" t="s">
        <v>9126</v>
      </c>
      <c r="L714" s="6" t="s">
        <v>9127</v>
      </c>
      <c r="M714" s="1" t="s">
        <v>9128</v>
      </c>
      <c r="O714" s="5">
        <v>44748.0</v>
      </c>
      <c r="P714" s="5">
        <v>44733.0</v>
      </c>
      <c r="R714" s="1" t="b">
        <v>0</v>
      </c>
      <c r="T714" s="1">
        <v>5.0</v>
      </c>
      <c r="U714" s="1" t="b">
        <v>1</v>
      </c>
      <c r="V714" s="1" t="s">
        <v>9129</v>
      </c>
      <c r="W714" s="1" t="s">
        <v>9130</v>
      </c>
      <c r="X714" s="1">
        <v>200.0</v>
      </c>
      <c r="Y714" s="1" t="s">
        <v>5142</v>
      </c>
      <c r="Z714" s="1" t="s">
        <v>5203</v>
      </c>
      <c r="AB714" s="1" t="s">
        <v>9131</v>
      </c>
      <c r="AC714" s="1" t="s">
        <v>5077</v>
      </c>
      <c r="AD714" s="1" t="s">
        <v>5078</v>
      </c>
      <c r="AE714" s="6" t="s">
        <v>9132</v>
      </c>
      <c r="AG714" s="5">
        <v>44753.0</v>
      </c>
      <c r="AH714" s="1">
        <v>359095.0</v>
      </c>
    </row>
    <row r="715">
      <c r="A715" s="1">
        <v>512186.0</v>
      </c>
      <c r="B715" s="1">
        <v>1.0</v>
      </c>
      <c r="C715" s="1" t="s">
        <v>8345</v>
      </c>
      <c r="D715" s="1" t="s">
        <v>5081</v>
      </c>
      <c r="F715" s="1" t="s">
        <v>9133</v>
      </c>
      <c r="G715" s="1" t="s">
        <v>5122</v>
      </c>
      <c r="H715" s="1" t="s">
        <v>5102</v>
      </c>
      <c r="I715" s="1" t="s">
        <v>18</v>
      </c>
      <c r="J715" s="1" t="s">
        <v>5071</v>
      </c>
      <c r="K715" s="1" t="s">
        <v>5072</v>
      </c>
      <c r="L715" s="6" t="s">
        <v>9134</v>
      </c>
      <c r="M715" s="1" t="s">
        <v>9135</v>
      </c>
      <c r="O715" s="5">
        <v>44748.0</v>
      </c>
      <c r="P715" s="5">
        <v>44733.0</v>
      </c>
      <c r="R715" s="1" t="b">
        <v>0</v>
      </c>
      <c r="T715" s="1">
        <v>5.0</v>
      </c>
      <c r="U715" s="1" t="b">
        <v>1</v>
      </c>
      <c r="V715" s="1" t="s">
        <v>9129</v>
      </c>
      <c r="W715" s="1" t="s">
        <v>9130</v>
      </c>
      <c r="X715" s="1">
        <v>408.0</v>
      </c>
      <c r="Z715" s="1" t="s">
        <v>5203</v>
      </c>
      <c r="AA715" s="1" t="s">
        <v>368</v>
      </c>
      <c r="AB715" s="1" t="s">
        <v>9136</v>
      </c>
      <c r="AE715" s="6" t="s">
        <v>9132</v>
      </c>
      <c r="AG715" s="5">
        <v>44753.0</v>
      </c>
    </row>
    <row r="716">
      <c r="A716" s="1">
        <v>518253.0</v>
      </c>
      <c r="B716" s="1">
        <v>0.0</v>
      </c>
      <c r="C716" s="1" t="s">
        <v>9137</v>
      </c>
      <c r="D716" s="1" t="s">
        <v>5068</v>
      </c>
      <c r="F716" s="1" t="s">
        <v>9138</v>
      </c>
      <c r="G716" s="1" t="s">
        <v>26</v>
      </c>
      <c r="H716" s="1" t="s">
        <v>5102</v>
      </c>
      <c r="I716" s="1" t="s">
        <v>18</v>
      </c>
      <c r="J716" s="1" t="s">
        <v>53</v>
      </c>
      <c r="K716" s="6" t="s">
        <v>9139</v>
      </c>
      <c r="L716" s="6" t="s">
        <v>9140</v>
      </c>
      <c r="M716" s="1" t="s">
        <v>5125</v>
      </c>
      <c r="N716" s="1" t="s">
        <v>9141</v>
      </c>
      <c r="R716" s="1" t="b">
        <v>0</v>
      </c>
      <c r="U716" s="1" t="b">
        <v>0</v>
      </c>
      <c r="V716" s="1" t="s">
        <v>6004</v>
      </c>
      <c r="W716" s="1" t="s">
        <v>9142</v>
      </c>
      <c r="X716" s="1">
        <v>200.0</v>
      </c>
      <c r="AE716" s="6" t="s">
        <v>9143</v>
      </c>
      <c r="AG716" s="5">
        <v>44785.0</v>
      </c>
    </row>
    <row r="717">
      <c r="A717" s="1">
        <v>518356.0</v>
      </c>
      <c r="B717" s="1">
        <v>0.0</v>
      </c>
      <c r="C717" s="1" t="s">
        <v>9144</v>
      </c>
      <c r="D717" s="1" t="s">
        <v>5068</v>
      </c>
      <c r="F717" s="1" t="s">
        <v>9145</v>
      </c>
      <c r="G717" s="1" t="s">
        <v>26</v>
      </c>
      <c r="H717" s="1" t="s">
        <v>5102</v>
      </c>
      <c r="I717" s="1" t="s">
        <v>18</v>
      </c>
      <c r="J717" s="1" t="s">
        <v>53</v>
      </c>
      <c r="K717" s="6" t="s">
        <v>9146</v>
      </c>
      <c r="L717" s="6" t="s">
        <v>9147</v>
      </c>
      <c r="M717" s="1" t="s">
        <v>5125</v>
      </c>
      <c r="N717" s="1" t="s">
        <v>9148</v>
      </c>
      <c r="O717" s="5">
        <v>42426.0</v>
      </c>
      <c r="R717" s="1" t="b">
        <v>0</v>
      </c>
      <c r="T717" s="1">
        <v>170936.0</v>
      </c>
      <c r="U717" s="1" t="b">
        <v>0</v>
      </c>
      <c r="V717" s="1" t="s">
        <v>6004</v>
      </c>
      <c r="W717" s="1" t="s">
        <v>9149</v>
      </c>
      <c r="X717" s="1">
        <v>200.0</v>
      </c>
      <c r="Z717" s="1" t="s">
        <v>8616</v>
      </c>
      <c r="AE717" s="6" t="s">
        <v>9150</v>
      </c>
      <c r="AG717" s="5">
        <v>44785.0</v>
      </c>
    </row>
    <row r="718">
      <c r="A718" s="1">
        <v>518357.0</v>
      </c>
      <c r="B718" s="1">
        <v>0.0</v>
      </c>
      <c r="C718" s="1" t="s">
        <v>9151</v>
      </c>
      <c r="D718" s="1" t="s">
        <v>5068</v>
      </c>
      <c r="F718" s="1" t="s">
        <v>9152</v>
      </c>
      <c r="G718" s="1" t="s">
        <v>26</v>
      </c>
      <c r="H718" s="1" t="s">
        <v>5102</v>
      </c>
      <c r="I718" s="1" t="s">
        <v>18</v>
      </c>
      <c r="J718" s="1" t="s">
        <v>53</v>
      </c>
      <c r="K718" s="6" t="s">
        <v>9153</v>
      </c>
      <c r="L718" s="6" t="s">
        <v>9154</v>
      </c>
      <c r="M718" s="1" t="s">
        <v>5125</v>
      </c>
      <c r="N718" s="1" t="s">
        <v>9155</v>
      </c>
      <c r="O718" s="5">
        <v>42426.0</v>
      </c>
      <c r="R718" s="1" t="b">
        <v>0</v>
      </c>
      <c r="T718" s="1">
        <v>170936.0</v>
      </c>
      <c r="U718" s="1" t="b">
        <v>0</v>
      </c>
      <c r="V718" s="1" t="s">
        <v>9156</v>
      </c>
      <c r="W718" s="1" t="s">
        <v>9157</v>
      </c>
      <c r="X718" s="1">
        <v>200.0</v>
      </c>
      <c r="Z718" s="1" t="s">
        <v>8616</v>
      </c>
      <c r="AE718" s="6" t="s">
        <v>9158</v>
      </c>
      <c r="AG718" s="5">
        <v>44785.0</v>
      </c>
    </row>
    <row r="719">
      <c r="A719" s="1">
        <v>518358.0</v>
      </c>
      <c r="B719" s="1">
        <v>0.0</v>
      </c>
      <c r="C719" s="1" t="s">
        <v>8963</v>
      </c>
      <c r="D719" s="1" t="s">
        <v>5068</v>
      </c>
      <c r="F719" s="1" t="s">
        <v>9159</v>
      </c>
      <c r="G719" s="1" t="s">
        <v>26</v>
      </c>
      <c r="H719" s="1" t="s">
        <v>5102</v>
      </c>
      <c r="I719" s="1" t="s">
        <v>18</v>
      </c>
      <c r="J719" s="1" t="s">
        <v>53</v>
      </c>
      <c r="K719" s="6" t="s">
        <v>9160</v>
      </c>
      <c r="L719" s="6" t="s">
        <v>9161</v>
      </c>
      <c r="M719" s="1" t="s">
        <v>5125</v>
      </c>
      <c r="N719" s="1" t="s">
        <v>9162</v>
      </c>
      <c r="O719" s="5">
        <v>42426.0</v>
      </c>
      <c r="R719" s="1" t="b">
        <v>0</v>
      </c>
      <c r="T719" s="1">
        <v>170936.0</v>
      </c>
      <c r="U719" s="1" t="b">
        <v>0</v>
      </c>
      <c r="V719" s="1" t="s">
        <v>9163</v>
      </c>
      <c r="W719" s="1" t="s">
        <v>9164</v>
      </c>
      <c r="X719" s="1">
        <v>200.0</v>
      </c>
      <c r="Z719" s="1" t="s">
        <v>8616</v>
      </c>
      <c r="AE719" s="6" t="s">
        <v>9165</v>
      </c>
      <c r="AG719" s="5">
        <v>44785.0</v>
      </c>
    </row>
    <row r="720">
      <c r="A720" s="1">
        <v>518359.0</v>
      </c>
      <c r="B720" s="1">
        <v>0.0</v>
      </c>
      <c r="C720" s="1" t="s">
        <v>9166</v>
      </c>
      <c r="D720" s="1" t="s">
        <v>5068</v>
      </c>
      <c r="F720" s="1" t="s">
        <v>9167</v>
      </c>
      <c r="G720" s="1" t="s">
        <v>26</v>
      </c>
      <c r="H720" s="1" t="s">
        <v>5102</v>
      </c>
      <c r="I720" s="1" t="s">
        <v>18</v>
      </c>
      <c r="J720" s="1" t="s">
        <v>53</v>
      </c>
      <c r="K720" s="6" t="s">
        <v>9168</v>
      </c>
      <c r="L720" s="6" t="s">
        <v>9169</v>
      </c>
      <c r="M720" s="1" t="s">
        <v>5125</v>
      </c>
      <c r="N720" s="1" t="s">
        <v>9170</v>
      </c>
      <c r="P720" s="5">
        <v>42157.0</v>
      </c>
      <c r="R720" s="1" t="b">
        <v>0</v>
      </c>
      <c r="T720" s="1">
        <v>170936.0</v>
      </c>
      <c r="U720" s="1" t="b">
        <v>0</v>
      </c>
      <c r="V720" s="1" t="s">
        <v>9163</v>
      </c>
      <c r="W720" s="1" t="s">
        <v>9171</v>
      </c>
      <c r="X720" s="1">
        <v>200.0</v>
      </c>
      <c r="Z720" s="1" t="s">
        <v>8616</v>
      </c>
      <c r="AE720" s="6" t="s">
        <v>9172</v>
      </c>
      <c r="AG720" s="5">
        <v>44785.0</v>
      </c>
    </row>
    <row r="721">
      <c r="A721" s="1">
        <v>518572.0</v>
      </c>
      <c r="B721" s="1">
        <v>0.0</v>
      </c>
      <c r="C721" s="1" t="s">
        <v>9173</v>
      </c>
      <c r="D721" s="1" t="s">
        <v>5068</v>
      </c>
      <c r="F721" s="1" t="s">
        <v>9174</v>
      </c>
      <c r="G721" s="1" t="s">
        <v>26</v>
      </c>
      <c r="H721" s="1" t="s">
        <v>5102</v>
      </c>
      <c r="I721" s="1" t="s">
        <v>18</v>
      </c>
      <c r="J721" s="1" t="s">
        <v>53</v>
      </c>
      <c r="K721" s="6" t="s">
        <v>9175</v>
      </c>
      <c r="L721" s="6" t="s">
        <v>9176</v>
      </c>
      <c r="M721" s="1" t="s">
        <v>5125</v>
      </c>
      <c r="N721" s="1" t="s">
        <v>9177</v>
      </c>
      <c r="P721" s="5">
        <v>36328.0</v>
      </c>
      <c r="R721" s="1" t="b">
        <v>0</v>
      </c>
      <c r="T721" s="1">
        <v>518253.0</v>
      </c>
      <c r="U721" s="1" t="b">
        <v>0</v>
      </c>
      <c r="V721" s="1" t="s">
        <v>5153</v>
      </c>
      <c r="W721" s="1" t="s">
        <v>9178</v>
      </c>
      <c r="X721" s="1">
        <v>200.0</v>
      </c>
      <c r="Z721" s="1" t="s">
        <v>9138</v>
      </c>
      <c r="AE721" s="6" t="s">
        <v>9179</v>
      </c>
      <c r="AG721" s="5">
        <v>44785.0</v>
      </c>
    </row>
    <row r="722">
      <c r="A722" s="1">
        <v>520714.0</v>
      </c>
      <c r="B722" s="1">
        <v>0.0</v>
      </c>
      <c r="C722" s="1" t="s">
        <v>9180</v>
      </c>
      <c r="D722" s="1" t="s">
        <v>5068</v>
      </c>
      <c r="F722" s="1" t="s">
        <v>9181</v>
      </c>
      <c r="G722" s="1" t="s">
        <v>5368</v>
      </c>
      <c r="H722" s="1" t="s">
        <v>5102</v>
      </c>
      <c r="I722" s="1" t="s">
        <v>18</v>
      </c>
      <c r="J722" s="1" t="s">
        <v>53</v>
      </c>
      <c r="K722" s="6" t="s">
        <v>9182</v>
      </c>
      <c r="L722" s="6" t="s">
        <v>9183</v>
      </c>
      <c r="M722" s="1" t="s">
        <v>5125</v>
      </c>
      <c r="N722" s="1" t="s">
        <v>9184</v>
      </c>
      <c r="R722" s="1" t="b">
        <v>0</v>
      </c>
      <c r="U722" s="1" t="b">
        <v>0</v>
      </c>
      <c r="V722" s="1" t="s">
        <v>6143</v>
      </c>
      <c r="W722" s="1" t="s">
        <v>9185</v>
      </c>
      <c r="X722" s="1">
        <v>200.0</v>
      </c>
      <c r="AE722" s="6" t="s">
        <v>9186</v>
      </c>
      <c r="AG722" s="5">
        <v>44796.0</v>
      </c>
    </row>
    <row r="723">
      <c r="A723" s="1">
        <v>520723.0</v>
      </c>
      <c r="B723" s="1">
        <v>0.0</v>
      </c>
      <c r="C723" s="1" t="s">
        <v>9187</v>
      </c>
      <c r="D723" s="1" t="s">
        <v>5068</v>
      </c>
      <c r="F723" s="1" t="s">
        <v>9188</v>
      </c>
      <c r="G723" s="1" t="s">
        <v>26</v>
      </c>
      <c r="H723" s="1" t="s">
        <v>5102</v>
      </c>
      <c r="I723" s="1" t="s">
        <v>18</v>
      </c>
      <c r="J723" s="1" t="s">
        <v>53</v>
      </c>
      <c r="K723" s="6" t="s">
        <v>9189</v>
      </c>
      <c r="L723" s="6" t="s">
        <v>9190</v>
      </c>
      <c r="M723" s="1" t="s">
        <v>5125</v>
      </c>
      <c r="N723" s="1" t="s">
        <v>9191</v>
      </c>
      <c r="P723" s="5">
        <v>36465.0</v>
      </c>
      <c r="R723" s="1" t="b">
        <v>0</v>
      </c>
      <c r="U723" s="1" t="b">
        <v>0</v>
      </c>
      <c r="V723" s="1" t="s">
        <v>6004</v>
      </c>
      <c r="W723" s="1" t="s">
        <v>9192</v>
      </c>
      <c r="X723" s="1">
        <v>200.0</v>
      </c>
      <c r="AE723" s="6" t="s">
        <v>9193</v>
      </c>
      <c r="AG723" s="5">
        <v>44796.0</v>
      </c>
    </row>
    <row r="724">
      <c r="A724" s="1">
        <v>520759.0</v>
      </c>
      <c r="B724" s="1">
        <v>0.0</v>
      </c>
      <c r="C724" s="1" t="s">
        <v>9194</v>
      </c>
      <c r="D724" s="1" t="s">
        <v>5068</v>
      </c>
      <c r="F724" s="1" t="s">
        <v>9195</v>
      </c>
      <c r="G724" s="1" t="s">
        <v>26</v>
      </c>
      <c r="H724" s="1" t="s">
        <v>5102</v>
      </c>
      <c r="I724" s="1" t="s">
        <v>18</v>
      </c>
      <c r="J724" s="1" t="s">
        <v>53</v>
      </c>
      <c r="K724" s="6" t="s">
        <v>9196</v>
      </c>
      <c r="L724" s="6" t="s">
        <v>9197</v>
      </c>
      <c r="M724" s="1" t="s">
        <v>5125</v>
      </c>
      <c r="N724" s="1" t="s">
        <v>9198</v>
      </c>
      <c r="O724" s="5">
        <v>32854.0</v>
      </c>
      <c r="R724" s="1" t="b">
        <v>0</v>
      </c>
      <c r="U724" s="1" t="b">
        <v>0</v>
      </c>
      <c r="V724" s="1" t="s">
        <v>6004</v>
      </c>
      <c r="W724" s="1" t="s">
        <v>9199</v>
      </c>
      <c r="X724" s="1">
        <v>200.0</v>
      </c>
      <c r="AG724" s="5">
        <v>44796.0</v>
      </c>
    </row>
    <row r="725">
      <c r="A725" s="1">
        <v>520773.0</v>
      </c>
      <c r="B725" s="1">
        <v>0.0</v>
      </c>
      <c r="C725" s="1" t="s">
        <v>9200</v>
      </c>
      <c r="D725" s="1" t="s">
        <v>5068</v>
      </c>
      <c r="F725" s="1" t="s">
        <v>9201</v>
      </c>
      <c r="G725" s="1" t="s">
        <v>26</v>
      </c>
      <c r="H725" s="1" t="s">
        <v>5102</v>
      </c>
      <c r="I725" s="1" t="s">
        <v>18</v>
      </c>
      <c r="J725" s="1" t="s">
        <v>53</v>
      </c>
      <c r="K725" s="6" t="s">
        <v>9202</v>
      </c>
      <c r="L725" s="6" t="s">
        <v>9203</v>
      </c>
      <c r="M725" s="1" t="s">
        <v>5125</v>
      </c>
      <c r="N725" s="1" t="s">
        <v>9204</v>
      </c>
      <c r="O725" s="5">
        <v>37469.0</v>
      </c>
      <c r="R725" s="1" t="b">
        <v>0</v>
      </c>
      <c r="T725" s="1">
        <v>520653.0</v>
      </c>
      <c r="U725" s="1" t="b">
        <v>0</v>
      </c>
      <c r="V725" s="1" t="s">
        <v>9033</v>
      </c>
      <c r="W725" s="1" t="s">
        <v>9205</v>
      </c>
      <c r="X725" s="1">
        <v>200.0</v>
      </c>
      <c r="Z725" s="1" t="s">
        <v>9206</v>
      </c>
      <c r="AE725" s="6" t="s">
        <v>9207</v>
      </c>
      <c r="AG725" s="5">
        <v>44796.0</v>
      </c>
    </row>
    <row r="726">
      <c r="A726" s="1">
        <v>520797.0</v>
      </c>
      <c r="B726" s="1">
        <v>0.0</v>
      </c>
      <c r="C726" s="1" t="s">
        <v>9208</v>
      </c>
      <c r="D726" s="1" t="s">
        <v>5068</v>
      </c>
      <c r="F726" s="1" t="s">
        <v>9209</v>
      </c>
      <c r="G726" s="1" t="s">
        <v>26</v>
      </c>
      <c r="H726" s="1" t="s">
        <v>5102</v>
      </c>
      <c r="I726" s="1" t="s">
        <v>18</v>
      </c>
      <c r="J726" s="1" t="s">
        <v>53</v>
      </c>
      <c r="K726" s="6" t="s">
        <v>9210</v>
      </c>
      <c r="L726" s="6" t="s">
        <v>9211</v>
      </c>
      <c r="M726" s="1" t="s">
        <v>5125</v>
      </c>
      <c r="N726" s="1" t="s">
        <v>9212</v>
      </c>
      <c r="O726" s="5">
        <v>39220.0</v>
      </c>
      <c r="R726" s="1" t="b">
        <v>0</v>
      </c>
      <c r="T726" s="1">
        <v>460235.0</v>
      </c>
      <c r="U726" s="1" t="b">
        <v>0</v>
      </c>
      <c r="V726" s="1" t="s">
        <v>9213</v>
      </c>
      <c r="W726" s="1" t="s">
        <v>9214</v>
      </c>
      <c r="X726" s="1">
        <v>200.0</v>
      </c>
      <c r="Z726" s="1" t="s">
        <v>8574</v>
      </c>
      <c r="AE726" s="6" t="s">
        <v>9215</v>
      </c>
      <c r="AG726" s="5">
        <v>44796.0</v>
      </c>
    </row>
    <row r="727">
      <c r="A727" s="1">
        <v>520806.0</v>
      </c>
      <c r="B727" s="1">
        <v>0.0</v>
      </c>
      <c r="C727" s="1" t="s">
        <v>9216</v>
      </c>
      <c r="D727" s="1" t="s">
        <v>5068</v>
      </c>
      <c r="F727" s="1" t="s">
        <v>9217</v>
      </c>
      <c r="G727" s="1" t="s">
        <v>26</v>
      </c>
      <c r="H727" s="1" t="s">
        <v>5102</v>
      </c>
      <c r="I727" s="1" t="s">
        <v>18</v>
      </c>
      <c r="J727" s="1" t="s">
        <v>53</v>
      </c>
      <c r="K727" s="6" t="s">
        <v>9218</v>
      </c>
      <c r="L727" s="6" t="s">
        <v>9219</v>
      </c>
      <c r="M727" s="1" t="s">
        <v>5125</v>
      </c>
      <c r="N727" s="1" t="s">
        <v>9220</v>
      </c>
      <c r="O727" s="5">
        <v>36586.0</v>
      </c>
      <c r="R727" s="1" t="b">
        <v>0</v>
      </c>
      <c r="T727" s="1">
        <v>520723.0</v>
      </c>
      <c r="U727" s="1" t="b">
        <v>0</v>
      </c>
      <c r="V727" s="1" t="s">
        <v>6143</v>
      </c>
      <c r="W727" s="1" t="s">
        <v>9221</v>
      </c>
      <c r="X727" s="1">
        <v>200.0</v>
      </c>
      <c r="Z727" s="1" t="s">
        <v>9188</v>
      </c>
      <c r="AE727" s="6" t="s">
        <v>9222</v>
      </c>
      <c r="AG727" s="5">
        <v>44796.0</v>
      </c>
    </row>
    <row r="728">
      <c r="A728" s="1">
        <v>520866.0</v>
      </c>
      <c r="B728" s="1">
        <v>0.0</v>
      </c>
      <c r="C728" s="1" t="s">
        <v>9223</v>
      </c>
      <c r="D728" s="1" t="s">
        <v>5068</v>
      </c>
      <c r="F728" s="1" t="s">
        <v>9224</v>
      </c>
      <c r="G728" s="1" t="s">
        <v>26</v>
      </c>
      <c r="H728" s="1" t="s">
        <v>5102</v>
      </c>
      <c r="I728" s="1" t="s">
        <v>18</v>
      </c>
      <c r="J728" s="1" t="s">
        <v>53</v>
      </c>
      <c r="K728" s="1" t="s">
        <v>5072</v>
      </c>
      <c r="L728" s="6" t="s">
        <v>9225</v>
      </c>
      <c r="M728" s="1" t="s">
        <v>5125</v>
      </c>
      <c r="N728" s="1" t="s">
        <v>9226</v>
      </c>
      <c r="O728" s="5">
        <v>36054.0</v>
      </c>
      <c r="R728" s="1" t="b">
        <v>0</v>
      </c>
      <c r="T728" s="1">
        <v>198653.0</v>
      </c>
      <c r="U728" s="1" t="b">
        <v>0</v>
      </c>
      <c r="V728" s="1" t="s">
        <v>9227</v>
      </c>
      <c r="X728" s="1">
        <v>200.0</v>
      </c>
      <c r="Z728" s="1" t="s">
        <v>87</v>
      </c>
      <c r="AE728" s="6" t="s">
        <v>9228</v>
      </c>
      <c r="AG728" s="5">
        <v>44796.0</v>
      </c>
    </row>
    <row r="729">
      <c r="A729" s="1">
        <v>520916.0</v>
      </c>
      <c r="B729" s="1">
        <v>0.0</v>
      </c>
      <c r="C729" s="1" t="s">
        <v>9229</v>
      </c>
      <c r="D729" s="1" t="s">
        <v>5068</v>
      </c>
      <c r="F729" s="1" t="s">
        <v>9230</v>
      </c>
      <c r="G729" s="1" t="s">
        <v>5122</v>
      </c>
      <c r="H729" s="1" t="s">
        <v>5102</v>
      </c>
      <c r="I729" s="1" t="s">
        <v>18</v>
      </c>
      <c r="J729" s="1" t="s">
        <v>53</v>
      </c>
      <c r="K729" s="6" t="s">
        <v>9231</v>
      </c>
      <c r="L729" s="6" t="s">
        <v>9232</v>
      </c>
      <c r="M729" s="1" t="s">
        <v>5125</v>
      </c>
      <c r="N729" s="1" t="s">
        <v>9233</v>
      </c>
      <c r="O729" s="5">
        <v>38546.0</v>
      </c>
      <c r="R729" s="1" t="b">
        <v>0</v>
      </c>
      <c r="T729" s="1">
        <v>191157.0</v>
      </c>
      <c r="U729" s="1" t="b">
        <v>0</v>
      </c>
      <c r="V729" s="1" t="s">
        <v>9234</v>
      </c>
      <c r="W729" s="1" t="s">
        <v>9235</v>
      </c>
      <c r="X729" s="1">
        <v>200.0</v>
      </c>
      <c r="Z729" s="1" t="s">
        <v>7081</v>
      </c>
      <c r="AE729" s="6" t="s">
        <v>9236</v>
      </c>
      <c r="AG729" s="5">
        <v>44796.0</v>
      </c>
    </row>
    <row r="730">
      <c r="A730" s="1">
        <v>520917.0</v>
      </c>
      <c r="B730" s="1">
        <v>0.0</v>
      </c>
      <c r="C730" s="1" t="s">
        <v>9237</v>
      </c>
      <c r="D730" s="1" t="s">
        <v>5068</v>
      </c>
      <c r="F730" s="1" t="s">
        <v>9238</v>
      </c>
      <c r="G730" s="1" t="s">
        <v>26</v>
      </c>
      <c r="H730" s="1" t="s">
        <v>5102</v>
      </c>
      <c r="I730" s="1" t="s">
        <v>18</v>
      </c>
      <c r="J730" s="1" t="s">
        <v>53</v>
      </c>
      <c r="K730" s="6" t="s">
        <v>9239</v>
      </c>
      <c r="L730" s="6" t="s">
        <v>9240</v>
      </c>
      <c r="M730" s="1" t="s">
        <v>5125</v>
      </c>
      <c r="N730" s="1" t="s">
        <v>9241</v>
      </c>
      <c r="O730" s="5">
        <v>35753.0</v>
      </c>
      <c r="R730" s="1" t="b">
        <v>0</v>
      </c>
      <c r="T730" s="1">
        <v>198653.0</v>
      </c>
      <c r="U730" s="1" t="b">
        <v>0</v>
      </c>
      <c r="V730" s="1" t="s">
        <v>9242</v>
      </c>
      <c r="W730" s="1" t="s">
        <v>9243</v>
      </c>
      <c r="X730" s="1">
        <v>200.0</v>
      </c>
      <c r="Z730" s="1" t="s">
        <v>87</v>
      </c>
      <c r="AE730" s="6" t="s">
        <v>9244</v>
      </c>
      <c r="AG730" s="5">
        <v>44796.0</v>
      </c>
    </row>
    <row r="731">
      <c r="A731" s="1">
        <v>520970.0</v>
      </c>
      <c r="B731" s="1">
        <v>0.0</v>
      </c>
      <c r="C731" s="1" t="s">
        <v>9245</v>
      </c>
      <c r="D731" s="1" t="s">
        <v>5068</v>
      </c>
      <c r="F731" s="1" t="s">
        <v>9246</v>
      </c>
      <c r="G731" s="1" t="s">
        <v>5368</v>
      </c>
      <c r="H731" s="1" t="s">
        <v>5102</v>
      </c>
      <c r="I731" s="1" t="s">
        <v>18</v>
      </c>
      <c r="J731" s="1" t="s">
        <v>53</v>
      </c>
      <c r="K731" s="6" t="s">
        <v>9247</v>
      </c>
      <c r="L731" s="6" t="s">
        <v>9248</v>
      </c>
      <c r="M731" s="1" t="s">
        <v>5125</v>
      </c>
      <c r="N731" s="1" t="s">
        <v>9249</v>
      </c>
      <c r="O731" s="5">
        <v>39220.0</v>
      </c>
      <c r="R731" s="1" t="b">
        <v>0</v>
      </c>
      <c r="T731" s="1">
        <v>460238.0</v>
      </c>
      <c r="U731" s="1" t="b">
        <v>0</v>
      </c>
      <c r="V731" s="1" t="s">
        <v>6143</v>
      </c>
      <c r="W731" s="1" t="s">
        <v>9250</v>
      </c>
      <c r="X731" s="1">
        <v>200.0</v>
      </c>
      <c r="Z731" s="1" t="s">
        <v>8589</v>
      </c>
      <c r="AE731" s="6" t="s">
        <v>9251</v>
      </c>
      <c r="AG731" s="5">
        <v>44796.0</v>
      </c>
    </row>
    <row r="732">
      <c r="A732" s="1">
        <v>520976.0</v>
      </c>
      <c r="B732" s="1">
        <v>0.0</v>
      </c>
      <c r="C732" s="1" t="s">
        <v>9252</v>
      </c>
      <c r="D732" s="1" t="s">
        <v>5068</v>
      </c>
      <c r="F732" s="1" t="s">
        <v>9253</v>
      </c>
      <c r="G732" s="1" t="s">
        <v>26</v>
      </c>
      <c r="H732" s="1" t="s">
        <v>5102</v>
      </c>
      <c r="I732" s="1" t="s">
        <v>18</v>
      </c>
      <c r="J732" s="1" t="s">
        <v>53</v>
      </c>
      <c r="K732" s="6" t="s">
        <v>9254</v>
      </c>
      <c r="L732" s="6" t="s">
        <v>9255</v>
      </c>
      <c r="M732" s="1" t="s">
        <v>5125</v>
      </c>
      <c r="N732" s="1" t="s">
        <v>9256</v>
      </c>
      <c r="O732" s="5">
        <v>39017.0</v>
      </c>
      <c r="R732" s="1" t="b">
        <v>0</v>
      </c>
      <c r="T732" s="1">
        <v>198653.0</v>
      </c>
      <c r="U732" s="1" t="b">
        <v>0</v>
      </c>
      <c r="V732" s="1" t="s">
        <v>7931</v>
      </c>
      <c r="W732" s="1" t="s">
        <v>9257</v>
      </c>
      <c r="X732" s="1">
        <v>200.0</v>
      </c>
      <c r="Z732" s="1" t="s">
        <v>87</v>
      </c>
      <c r="AE732" s="6" t="s">
        <v>9258</v>
      </c>
      <c r="AG732" s="5">
        <v>44796.0</v>
      </c>
    </row>
    <row r="733">
      <c r="A733" s="1">
        <v>520982.0</v>
      </c>
      <c r="B733" s="1">
        <v>0.0</v>
      </c>
      <c r="C733" s="1" t="s">
        <v>9259</v>
      </c>
      <c r="D733" s="1" t="s">
        <v>5068</v>
      </c>
      <c r="F733" s="1" t="s">
        <v>9260</v>
      </c>
      <c r="G733" s="1" t="s">
        <v>26</v>
      </c>
      <c r="H733" s="1" t="s">
        <v>5102</v>
      </c>
      <c r="I733" s="1" t="s">
        <v>18</v>
      </c>
      <c r="J733" s="1" t="s">
        <v>53</v>
      </c>
      <c r="K733" s="6" t="s">
        <v>9261</v>
      </c>
      <c r="L733" s="6" t="s">
        <v>9262</v>
      </c>
      <c r="M733" s="1" t="s">
        <v>5125</v>
      </c>
      <c r="N733" s="1" t="s">
        <v>9263</v>
      </c>
      <c r="O733" s="5">
        <v>35773.0</v>
      </c>
      <c r="R733" s="1" t="b">
        <v>0</v>
      </c>
      <c r="T733" s="1">
        <v>198653.0</v>
      </c>
      <c r="U733" s="1" t="b">
        <v>0</v>
      </c>
      <c r="V733" s="1" t="s">
        <v>9264</v>
      </c>
      <c r="W733" s="1" t="s">
        <v>9265</v>
      </c>
      <c r="X733" s="1">
        <v>200.0</v>
      </c>
      <c r="Z733" s="1" t="s">
        <v>87</v>
      </c>
      <c r="AE733" s="6" t="s">
        <v>9262</v>
      </c>
      <c r="AG733" s="5">
        <v>44796.0</v>
      </c>
    </row>
    <row r="734">
      <c r="A734" s="1">
        <v>520987.0</v>
      </c>
      <c r="B734" s="1">
        <v>0.0</v>
      </c>
      <c r="C734" s="1" t="s">
        <v>322</v>
      </c>
      <c r="D734" s="1" t="s">
        <v>5068</v>
      </c>
      <c r="F734" s="1" t="s">
        <v>323</v>
      </c>
      <c r="G734" s="1" t="s">
        <v>5122</v>
      </c>
      <c r="H734" s="1" t="s">
        <v>5102</v>
      </c>
      <c r="I734" s="1" t="s">
        <v>18</v>
      </c>
      <c r="J734" s="1" t="s">
        <v>53</v>
      </c>
      <c r="K734" s="1" t="s">
        <v>5072</v>
      </c>
      <c r="L734" s="6" t="s">
        <v>9266</v>
      </c>
      <c r="M734" s="1" t="s">
        <v>5125</v>
      </c>
      <c r="N734" s="1" t="s">
        <v>9267</v>
      </c>
      <c r="O734" s="5">
        <v>44789.0</v>
      </c>
      <c r="R734" s="1" t="b">
        <v>0</v>
      </c>
      <c r="T734" s="1">
        <v>191157.0</v>
      </c>
      <c r="U734" s="1" t="b">
        <v>0</v>
      </c>
      <c r="V734" s="1" t="s">
        <v>9268</v>
      </c>
      <c r="X734" s="1">
        <v>200.0</v>
      </c>
      <c r="Z734" s="1" t="s">
        <v>7081</v>
      </c>
      <c r="AE734" s="6" t="s">
        <v>9269</v>
      </c>
      <c r="AG734" s="5">
        <v>44796.0</v>
      </c>
    </row>
    <row r="735">
      <c r="A735" s="1">
        <v>522090.0</v>
      </c>
      <c r="B735" s="1">
        <v>0.0</v>
      </c>
      <c r="C735" s="1" t="s">
        <v>9270</v>
      </c>
      <c r="D735" s="1" t="s">
        <v>5068</v>
      </c>
      <c r="F735" s="1" t="s">
        <v>9271</v>
      </c>
      <c r="G735" s="1" t="s">
        <v>5368</v>
      </c>
      <c r="H735" s="1" t="s">
        <v>5102</v>
      </c>
      <c r="I735" s="1" t="s">
        <v>18</v>
      </c>
      <c r="J735" s="1" t="s">
        <v>5149</v>
      </c>
      <c r="K735" s="1" t="s">
        <v>5072</v>
      </c>
      <c r="L735" s="6" t="s">
        <v>9272</v>
      </c>
      <c r="M735" s="1" t="s">
        <v>5125</v>
      </c>
      <c r="N735" s="1" t="s">
        <v>9273</v>
      </c>
      <c r="R735" s="1" t="b">
        <v>0</v>
      </c>
      <c r="U735" s="1" t="b">
        <v>0</v>
      </c>
      <c r="V735" s="1" t="s">
        <v>9274</v>
      </c>
      <c r="X735" s="1">
        <v>200.0</v>
      </c>
      <c r="AE735" s="6" t="s">
        <v>9275</v>
      </c>
      <c r="AG735" s="5">
        <v>44803.0</v>
      </c>
    </row>
    <row r="736">
      <c r="A736" s="1">
        <v>522092.0</v>
      </c>
      <c r="B736" s="1">
        <v>0.0</v>
      </c>
      <c r="C736" s="1" t="s">
        <v>5099</v>
      </c>
      <c r="D736" s="1" t="s">
        <v>5068</v>
      </c>
      <c r="F736" s="1" t="s">
        <v>9276</v>
      </c>
      <c r="G736" s="1" t="s">
        <v>5122</v>
      </c>
      <c r="H736" s="1" t="s">
        <v>5102</v>
      </c>
      <c r="I736" s="1" t="s">
        <v>18</v>
      </c>
      <c r="J736" s="1" t="s">
        <v>5149</v>
      </c>
      <c r="K736" s="1" t="s">
        <v>5072</v>
      </c>
      <c r="L736" s="6" t="s">
        <v>9277</v>
      </c>
      <c r="M736" s="1" t="s">
        <v>5125</v>
      </c>
      <c r="N736" s="1" t="s">
        <v>9278</v>
      </c>
      <c r="O736" s="5">
        <v>37035.0</v>
      </c>
      <c r="R736" s="1" t="b">
        <v>0</v>
      </c>
      <c r="U736" s="1" t="b">
        <v>0</v>
      </c>
      <c r="V736" s="1" t="s">
        <v>9268</v>
      </c>
      <c r="X736" s="1">
        <v>200.0</v>
      </c>
      <c r="Y736" s="1" t="s">
        <v>5075</v>
      </c>
      <c r="AE736" s="6" t="s">
        <v>9279</v>
      </c>
      <c r="AG736" s="5">
        <v>44803.0</v>
      </c>
    </row>
    <row r="737">
      <c r="A737" s="1">
        <v>522101.0</v>
      </c>
      <c r="B737" s="1">
        <v>0.0</v>
      </c>
      <c r="C737" s="1" t="s">
        <v>9280</v>
      </c>
      <c r="D737" s="1" t="s">
        <v>5068</v>
      </c>
      <c r="F737" s="1" t="s">
        <v>9281</v>
      </c>
      <c r="G737" s="1" t="s">
        <v>5368</v>
      </c>
      <c r="H737" s="1" t="s">
        <v>5102</v>
      </c>
      <c r="I737" s="1" t="s">
        <v>18</v>
      </c>
      <c r="J737" s="1" t="s">
        <v>5149</v>
      </c>
      <c r="K737" s="1" t="s">
        <v>5072</v>
      </c>
      <c r="L737" s="6" t="s">
        <v>9282</v>
      </c>
      <c r="M737" s="1" t="s">
        <v>5125</v>
      </c>
      <c r="N737" s="1" t="s">
        <v>9283</v>
      </c>
      <c r="O737" s="5">
        <v>35412.0</v>
      </c>
      <c r="R737" s="1" t="b">
        <v>0</v>
      </c>
      <c r="T737" s="1">
        <v>522090.0</v>
      </c>
      <c r="U737" s="1" t="b">
        <v>0</v>
      </c>
      <c r="V737" s="1" t="s">
        <v>9274</v>
      </c>
      <c r="X737" s="1">
        <v>200.0</v>
      </c>
      <c r="Z737" s="1" t="s">
        <v>9271</v>
      </c>
      <c r="AE737" s="6" t="s">
        <v>9284</v>
      </c>
      <c r="AG737" s="5">
        <v>44803.0</v>
      </c>
    </row>
    <row r="738">
      <c r="A738" s="1">
        <v>522103.0</v>
      </c>
      <c r="B738" s="1">
        <v>0.0</v>
      </c>
      <c r="C738" s="1" t="s">
        <v>100</v>
      </c>
      <c r="D738" s="1" t="s">
        <v>5068</v>
      </c>
      <c r="E738" s="5">
        <v>44715.0</v>
      </c>
      <c r="F738" s="1" t="s">
        <v>101</v>
      </c>
      <c r="G738" s="1" t="s">
        <v>5122</v>
      </c>
      <c r="H738" s="1" t="s">
        <v>5102</v>
      </c>
      <c r="I738" s="1" t="s">
        <v>18</v>
      </c>
      <c r="J738" s="1" t="s">
        <v>5149</v>
      </c>
      <c r="K738" s="6" t="s">
        <v>9285</v>
      </c>
      <c r="L738" s="6" t="s">
        <v>9286</v>
      </c>
      <c r="M738" s="1" t="s">
        <v>5125</v>
      </c>
      <c r="N738" s="1" t="s">
        <v>9287</v>
      </c>
      <c r="O738" s="5">
        <v>37211.0</v>
      </c>
      <c r="R738" s="1" t="b">
        <v>0</v>
      </c>
      <c r="T738" s="1">
        <v>522092.0</v>
      </c>
      <c r="U738" s="1" t="b">
        <v>0</v>
      </c>
      <c r="V738" s="1" t="s">
        <v>5372</v>
      </c>
      <c r="W738" s="1" t="s">
        <v>9288</v>
      </c>
      <c r="X738" s="1">
        <v>200.0</v>
      </c>
      <c r="Y738" s="1" t="s">
        <v>5075</v>
      </c>
      <c r="Z738" s="1" t="s">
        <v>9276</v>
      </c>
      <c r="AE738" s="6" t="s">
        <v>9289</v>
      </c>
      <c r="AG738" s="5">
        <v>44803.0</v>
      </c>
    </row>
    <row r="739">
      <c r="A739" s="1">
        <v>526339.0</v>
      </c>
      <c r="B739" s="1">
        <v>1.0</v>
      </c>
      <c r="C739" s="1" t="s">
        <v>109</v>
      </c>
      <c r="D739" s="1" t="s">
        <v>5068</v>
      </c>
      <c r="F739" s="1" t="s">
        <v>265</v>
      </c>
      <c r="G739" s="1" t="s">
        <v>5122</v>
      </c>
      <c r="H739" s="1" t="s">
        <v>5102</v>
      </c>
      <c r="I739" s="1" t="s">
        <v>52</v>
      </c>
      <c r="J739" s="1" t="s">
        <v>24</v>
      </c>
      <c r="K739" s="6" t="s">
        <v>9290</v>
      </c>
      <c r="L739" s="6" t="s">
        <v>9291</v>
      </c>
      <c r="M739" s="1" t="s">
        <v>9292</v>
      </c>
      <c r="O739" s="5">
        <v>44803.0</v>
      </c>
      <c r="P739" s="5">
        <v>45078.0</v>
      </c>
      <c r="R739" s="1" t="b">
        <v>0</v>
      </c>
      <c r="U739" s="1" t="b">
        <v>1</v>
      </c>
      <c r="V739" s="1" t="s">
        <v>9293</v>
      </c>
      <c r="W739" s="1" t="s">
        <v>9294</v>
      </c>
      <c r="X739" s="1">
        <v>200.0</v>
      </c>
      <c r="Y739" s="1" t="s">
        <v>5075</v>
      </c>
      <c r="AB739" s="1" t="s">
        <v>9295</v>
      </c>
      <c r="AE739" s="6" t="s">
        <v>9296</v>
      </c>
      <c r="AG739" s="5">
        <v>44810.0</v>
      </c>
    </row>
    <row r="740">
      <c r="A740" s="1">
        <v>527533.0</v>
      </c>
      <c r="B740" s="1">
        <v>0.0</v>
      </c>
      <c r="C740" s="1" t="s">
        <v>251</v>
      </c>
      <c r="D740" s="1" t="s">
        <v>5068</v>
      </c>
      <c r="F740" s="1" t="s">
        <v>250</v>
      </c>
      <c r="G740" s="1" t="s">
        <v>26</v>
      </c>
      <c r="H740" s="1" t="s">
        <v>5116</v>
      </c>
      <c r="I740" s="1" t="s">
        <v>18</v>
      </c>
      <c r="J740" s="1" t="s">
        <v>5071</v>
      </c>
      <c r="K740" s="6" t="s">
        <v>9297</v>
      </c>
      <c r="L740" s="6" t="s">
        <v>9298</v>
      </c>
      <c r="M740" s="1" t="s">
        <v>9299</v>
      </c>
      <c r="O740" s="5">
        <v>44789.0</v>
      </c>
      <c r="P740" s="5">
        <v>44789.0</v>
      </c>
      <c r="R740" s="1" t="b">
        <v>0</v>
      </c>
      <c r="U740" s="1" t="b">
        <v>1</v>
      </c>
      <c r="V740" s="1" t="s">
        <v>8535</v>
      </c>
      <c r="W740" s="1" t="s">
        <v>9300</v>
      </c>
      <c r="X740" s="1">
        <v>200.0</v>
      </c>
      <c r="Y740" s="1" t="s">
        <v>5075</v>
      </c>
      <c r="AB740" s="1" t="s">
        <v>248</v>
      </c>
      <c r="AG740" s="5">
        <v>44817.0</v>
      </c>
    </row>
    <row r="741">
      <c r="A741" s="1">
        <v>527534.0</v>
      </c>
      <c r="B741" s="1">
        <v>0.0</v>
      </c>
      <c r="C741" s="1" t="s">
        <v>9301</v>
      </c>
      <c r="D741" s="1" t="s">
        <v>5081</v>
      </c>
      <c r="F741" s="1" t="s">
        <v>9302</v>
      </c>
      <c r="G741" s="1" t="s">
        <v>26</v>
      </c>
      <c r="H741" s="1" t="s">
        <v>5116</v>
      </c>
      <c r="I741" s="1" t="s">
        <v>18</v>
      </c>
      <c r="J741" s="1" t="s">
        <v>5071</v>
      </c>
      <c r="K741" s="6" t="s">
        <v>9303</v>
      </c>
      <c r="L741" s="6" t="s">
        <v>9304</v>
      </c>
      <c r="M741" s="1" t="s">
        <v>9305</v>
      </c>
      <c r="O741" s="5">
        <v>44789.0</v>
      </c>
      <c r="P741" s="5">
        <v>44789.0</v>
      </c>
      <c r="R741" s="1" t="b">
        <v>0</v>
      </c>
      <c r="U741" s="1" t="b">
        <v>1</v>
      </c>
      <c r="V741" s="1" t="s">
        <v>8535</v>
      </c>
      <c r="W741" s="1" t="s">
        <v>9300</v>
      </c>
      <c r="X741" s="1">
        <v>200.0</v>
      </c>
      <c r="AA741" s="1" t="s">
        <v>250</v>
      </c>
      <c r="AB741" s="6" t="s">
        <v>7326</v>
      </c>
      <c r="AG741" s="5">
        <v>44817.0</v>
      </c>
    </row>
    <row r="742">
      <c r="A742" s="1">
        <v>527535.0</v>
      </c>
      <c r="B742" s="1">
        <v>0.0</v>
      </c>
      <c r="C742" s="1" t="s">
        <v>246</v>
      </c>
      <c r="D742" s="1" t="s">
        <v>5068</v>
      </c>
      <c r="F742" s="1" t="s">
        <v>245</v>
      </c>
      <c r="G742" s="1" t="s">
        <v>26</v>
      </c>
      <c r="H742" s="1" t="s">
        <v>5116</v>
      </c>
      <c r="I742" s="1" t="s">
        <v>18</v>
      </c>
      <c r="J742" s="1" t="s">
        <v>5071</v>
      </c>
      <c r="K742" s="6" t="s">
        <v>9306</v>
      </c>
      <c r="L742" s="6" t="s">
        <v>9307</v>
      </c>
      <c r="M742" s="1" t="s">
        <v>9308</v>
      </c>
      <c r="O742" s="5">
        <v>44790.0</v>
      </c>
      <c r="P742" s="5">
        <v>44790.0</v>
      </c>
      <c r="R742" s="1" t="b">
        <v>0</v>
      </c>
      <c r="U742" s="1" t="b">
        <v>1</v>
      </c>
      <c r="V742" s="1" t="s">
        <v>8535</v>
      </c>
      <c r="W742" s="1" t="s">
        <v>9309</v>
      </c>
      <c r="X742" s="1">
        <v>200.0</v>
      </c>
      <c r="Y742" s="1" t="s">
        <v>5075</v>
      </c>
      <c r="AB742" s="1" t="s">
        <v>243</v>
      </c>
      <c r="AG742" s="5">
        <v>44817.0</v>
      </c>
    </row>
    <row r="743">
      <c r="A743" s="1">
        <v>527536.0</v>
      </c>
      <c r="B743" s="1">
        <v>0.0</v>
      </c>
      <c r="C743" s="1" t="s">
        <v>9310</v>
      </c>
      <c r="D743" s="1" t="s">
        <v>5081</v>
      </c>
      <c r="F743" s="1" t="s">
        <v>9311</v>
      </c>
      <c r="G743" s="1" t="s">
        <v>26</v>
      </c>
      <c r="H743" s="1" t="s">
        <v>5116</v>
      </c>
      <c r="I743" s="1" t="s">
        <v>18</v>
      </c>
      <c r="J743" s="1" t="s">
        <v>5071</v>
      </c>
      <c r="K743" s="6" t="s">
        <v>9312</v>
      </c>
      <c r="L743" s="6" t="s">
        <v>9313</v>
      </c>
      <c r="M743" s="1" t="s">
        <v>9314</v>
      </c>
      <c r="O743" s="5">
        <v>44790.0</v>
      </c>
      <c r="P743" s="5">
        <v>44790.0</v>
      </c>
      <c r="R743" s="1" t="b">
        <v>0</v>
      </c>
      <c r="U743" s="1" t="b">
        <v>1</v>
      </c>
      <c r="V743" s="1" t="s">
        <v>8535</v>
      </c>
      <c r="W743" s="1" t="s">
        <v>9309</v>
      </c>
      <c r="X743" s="1">
        <v>200.0</v>
      </c>
      <c r="AA743" s="1" t="s">
        <v>245</v>
      </c>
      <c r="AB743" s="6" t="s">
        <v>7332</v>
      </c>
      <c r="AG743" s="5">
        <v>44817.0</v>
      </c>
    </row>
    <row r="744">
      <c r="A744" s="1">
        <v>527537.0</v>
      </c>
      <c r="B744" s="1">
        <v>0.0</v>
      </c>
      <c r="C744" s="1" t="s">
        <v>256</v>
      </c>
      <c r="D744" s="1" t="s">
        <v>5068</v>
      </c>
      <c r="F744" s="1" t="s">
        <v>255</v>
      </c>
      <c r="G744" s="1" t="s">
        <v>26</v>
      </c>
      <c r="H744" s="1" t="s">
        <v>5116</v>
      </c>
      <c r="I744" s="1" t="s">
        <v>18</v>
      </c>
      <c r="J744" s="1" t="s">
        <v>5071</v>
      </c>
      <c r="K744" s="6" t="s">
        <v>9315</v>
      </c>
      <c r="L744" s="6" t="s">
        <v>9316</v>
      </c>
      <c r="M744" s="1" t="s">
        <v>9317</v>
      </c>
      <c r="O744" s="5">
        <v>44789.0</v>
      </c>
      <c r="P744" s="5">
        <v>44789.0</v>
      </c>
      <c r="R744" s="1" t="b">
        <v>0</v>
      </c>
      <c r="U744" s="1" t="b">
        <v>1</v>
      </c>
      <c r="V744" s="1" t="s">
        <v>5699</v>
      </c>
      <c r="W744" s="1" t="s">
        <v>9318</v>
      </c>
      <c r="X744" s="1">
        <v>200.0</v>
      </c>
      <c r="Y744" s="1" t="s">
        <v>5075</v>
      </c>
      <c r="AB744" s="1" t="s">
        <v>253</v>
      </c>
      <c r="AG744" s="5">
        <v>44817.0</v>
      </c>
    </row>
    <row r="745">
      <c r="A745" s="1">
        <v>527538.0</v>
      </c>
      <c r="B745" s="1">
        <v>0.0</v>
      </c>
      <c r="C745" s="1" t="s">
        <v>9319</v>
      </c>
      <c r="D745" s="1" t="s">
        <v>5081</v>
      </c>
      <c r="F745" s="1" t="s">
        <v>9320</v>
      </c>
      <c r="G745" s="1" t="s">
        <v>26</v>
      </c>
      <c r="H745" s="1" t="s">
        <v>5116</v>
      </c>
      <c r="I745" s="1" t="s">
        <v>18</v>
      </c>
      <c r="J745" s="1" t="s">
        <v>5071</v>
      </c>
      <c r="K745" s="6" t="s">
        <v>9321</v>
      </c>
      <c r="L745" s="6" t="s">
        <v>9322</v>
      </c>
      <c r="M745" s="1" t="s">
        <v>9323</v>
      </c>
      <c r="O745" s="5">
        <v>44789.0</v>
      </c>
      <c r="P745" s="5">
        <v>44789.0</v>
      </c>
      <c r="R745" s="1" t="b">
        <v>0</v>
      </c>
      <c r="U745" s="1" t="b">
        <v>1</v>
      </c>
      <c r="V745" s="1" t="s">
        <v>5699</v>
      </c>
      <c r="W745" s="1" t="s">
        <v>9318</v>
      </c>
      <c r="X745" s="1">
        <v>200.0</v>
      </c>
      <c r="AA745" s="1" t="s">
        <v>255</v>
      </c>
      <c r="AB745" s="6" t="s">
        <v>7391</v>
      </c>
      <c r="AG745" s="5">
        <v>44817.0</v>
      </c>
    </row>
    <row r="746">
      <c r="A746" s="1">
        <v>527539.0</v>
      </c>
      <c r="B746" s="1">
        <v>0.0</v>
      </c>
      <c r="C746" s="1" t="s">
        <v>261</v>
      </c>
      <c r="D746" s="1" t="s">
        <v>5068</v>
      </c>
      <c r="F746" s="1" t="s">
        <v>260</v>
      </c>
      <c r="G746" s="1" t="s">
        <v>26</v>
      </c>
      <c r="H746" s="1" t="s">
        <v>5116</v>
      </c>
      <c r="I746" s="1" t="s">
        <v>18</v>
      </c>
      <c r="J746" s="1" t="s">
        <v>5071</v>
      </c>
      <c r="K746" s="6" t="s">
        <v>9324</v>
      </c>
      <c r="L746" s="6" t="s">
        <v>9325</v>
      </c>
      <c r="M746" s="1" t="s">
        <v>9326</v>
      </c>
      <c r="O746" s="5">
        <v>44789.0</v>
      </c>
      <c r="P746" s="5">
        <v>44789.0</v>
      </c>
      <c r="R746" s="1" t="b">
        <v>0</v>
      </c>
      <c r="U746" s="1" t="b">
        <v>1</v>
      </c>
      <c r="V746" s="1" t="s">
        <v>8535</v>
      </c>
      <c r="W746" s="1" t="s">
        <v>9327</v>
      </c>
      <c r="X746" s="1">
        <v>200.0</v>
      </c>
      <c r="Y746" s="1" t="s">
        <v>5075</v>
      </c>
      <c r="AB746" s="1" t="s">
        <v>258</v>
      </c>
      <c r="AG746" s="5">
        <v>44817.0</v>
      </c>
    </row>
    <row r="747">
      <c r="A747" s="1">
        <v>527540.0</v>
      </c>
      <c r="B747" s="1">
        <v>0.0</v>
      </c>
      <c r="C747" s="1" t="s">
        <v>9328</v>
      </c>
      <c r="D747" s="1" t="s">
        <v>5081</v>
      </c>
      <c r="F747" s="1" t="s">
        <v>9329</v>
      </c>
      <c r="G747" s="1" t="s">
        <v>26</v>
      </c>
      <c r="H747" s="1" t="s">
        <v>5116</v>
      </c>
      <c r="I747" s="1" t="s">
        <v>18</v>
      </c>
      <c r="J747" s="1" t="s">
        <v>5071</v>
      </c>
      <c r="K747" s="6" t="s">
        <v>9330</v>
      </c>
      <c r="L747" s="6" t="s">
        <v>9331</v>
      </c>
      <c r="M747" s="1" t="s">
        <v>9332</v>
      </c>
      <c r="O747" s="5">
        <v>44789.0</v>
      </c>
      <c r="P747" s="5">
        <v>44789.0</v>
      </c>
      <c r="R747" s="1" t="b">
        <v>0</v>
      </c>
      <c r="U747" s="1" t="b">
        <v>1</v>
      </c>
      <c r="V747" s="1" t="s">
        <v>8535</v>
      </c>
      <c r="W747" s="1" t="s">
        <v>9327</v>
      </c>
      <c r="X747" s="1">
        <v>200.0</v>
      </c>
      <c r="AA747" s="1" t="s">
        <v>260</v>
      </c>
      <c r="AB747" s="1" t="s">
        <v>7337</v>
      </c>
      <c r="AG747" s="5">
        <v>44817.0</v>
      </c>
    </row>
    <row r="748">
      <c r="A748" s="1">
        <v>527632.0</v>
      </c>
      <c r="B748" s="1">
        <v>0.0</v>
      </c>
      <c r="C748" s="1" t="s">
        <v>9333</v>
      </c>
      <c r="D748" s="1" t="s">
        <v>5068</v>
      </c>
      <c r="F748" s="1" t="s">
        <v>9334</v>
      </c>
      <c r="G748" s="1" t="s">
        <v>5368</v>
      </c>
      <c r="H748" s="1" t="s">
        <v>5102</v>
      </c>
      <c r="I748" s="1" t="s">
        <v>18</v>
      </c>
      <c r="J748" s="1" t="s">
        <v>5149</v>
      </c>
      <c r="K748" s="6" t="s">
        <v>9335</v>
      </c>
      <c r="L748" s="6" t="s">
        <v>9336</v>
      </c>
      <c r="M748" s="1" t="s">
        <v>5125</v>
      </c>
      <c r="N748" s="1" t="s">
        <v>9337</v>
      </c>
      <c r="R748" s="1" t="b">
        <v>0</v>
      </c>
      <c r="U748" s="1" t="b">
        <v>0</v>
      </c>
      <c r="V748" s="1" t="s">
        <v>6004</v>
      </c>
      <c r="W748" s="1" t="s">
        <v>9338</v>
      </c>
      <c r="X748" s="1">
        <v>200.0</v>
      </c>
      <c r="AE748" s="6" t="s">
        <v>9339</v>
      </c>
      <c r="AG748" s="5">
        <v>44817.0</v>
      </c>
    </row>
    <row r="749">
      <c r="A749" s="1">
        <v>527670.0</v>
      </c>
      <c r="B749" s="1">
        <v>0.0</v>
      </c>
      <c r="C749" s="1" t="s">
        <v>9340</v>
      </c>
      <c r="D749" s="1" t="s">
        <v>5068</v>
      </c>
      <c r="F749" s="1" t="s">
        <v>9341</v>
      </c>
      <c r="G749" s="1" t="s">
        <v>5368</v>
      </c>
      <c r="H749" s="1" t="s">
        <v>5102</v>
      </c>
      <c r="I749" s="1" t="s">
        <v>18</v>
      </c>
      <c r="J749" s="1" t="s">
        <v>5149</v>
      </c>
      <c r="K749" s="6" t="s">
        <v>9342</v>
      </c>
      <c r="L749" s="6" t="s">
        <v>9343</v>
      </c>
      <c r="M749" s="1" t="s">
        <v>5125</v>
      </c>
      <c r="N749" s="1" t="s">
        <v>9344</v>
      </c>
      <c r="O749" s="5">
        <v>39171.0</v>
      </c>
      <c r="R749" s="1" t="b">
        <v>0</v>
      </c>
      <c r="T749" s="1">
        <v>527620.0</v>
      </c>
      <c r="U749" s="1" t="b">
        <v>0</v>
      </c>
      <c r="V749" s="1" t="s">
        <v>9345</v>
      </c>
      <c r="W749" s="1" t="s">
        <v>9346</v>
      </c>
      <c r="X749" s="1">
        <v>200.0</v>
      </c>
      <c r="Z749" s="1" t="s">
        <v>9347</v>
      </c>
      <c r="AE749" s="6" t="s">
        <v>9348</v>
      </c>
      <c r="AG749" s="5">
        <v>44817.0</v>
      </c>
    </row>
    <row r="750">
      <c r="A750" s="1">
        <v>527698.0</v>
      </c>
      <c r="B750" s="1">
        <v>0.0</v>
      </c>
      <c r="C750" s="1" t="s">
        <v>9349</v>
      </c>
      <c r="D750" s="1" t="s">
        <v>5068</v>
      </c>
      <c r="F750" s="1" t="s">
        <v>9350</v>
      </c>
      <c r="G750" s="1" t="s">
        <v>5368</v>
      </c>
      <c r="H750" s="1" t="s">
        <v>5102</v>
      </c>
      <c r="I750" s="1" t="s">
        <v>18</v>
      </c>
      <c r="J750" s="1" t="s">
        <v>5149</v>
      </c>
      <c r="K750" s="6" t="s">
        <v>9351</v>
      </c>
      <c r="L750" s="6" t="s">
        <v>9352</v>
      </c>
      <c r="M750" s="1" t="s">
        <v>5125</v>
      </c>
      <c r="N750" s="1" t="s">
        <v>9353</v>
      </c>
      <c r="O750" s="5">
        <v>35524.0</v>
      </c>
      <c r="R750" s="1" t="b">
        <v>0</v>
      </c>
      <c r="T750" s="1">
        <v>527632.0</v>
      </c>
      <c r="U750" s="1" t="b">
        <v>0</v>
      </c>
      <c r="V750" s="1" t="s">
        <v>6143</v>
      </c>
      <c r="W750" s="1" t="s">
        <v>9354</v>
      </c>
      <c r="X750" s="1">
        <v>200.0</v>
      </c>
      <c r="Z750" s="1" t="s">
        <v>9334</v>
      </c>
      <c r="AE750" s="6" t="s">
        <v>9355</v>
      </c>
      <c r="AG750" s="5">
        <v>44817.0</v>
      </c>
    </row>
    <row r="751">
      <c r="A751" s="1">
        <v>527736.0</v>
      </c>
      <c r="B751" s="1">
        <v>0.0</v>
      </c>
      <c r="C751" s="1" t="s">
        <v>9356</v>
      </c>
      <c r="D751" s="1" t="s">
        <v>5068</v>
      </c>
      <c r="F751" s="1" t="s">
        <v>9357</v>
      </c>
      <c r="G751" s="1" t="s">
        <v>5368</v>
      </c>
      <c r="H751" s="1" t="s">
        <v>5102</v>
      </c>
      <c r="I751" s="1" t="s">
        <v>18</v>
      </c>
      <c r="J751" s="1" t="s">
        <v>5149</v>
      </c>
      <c r="K751" s="6" t="s">
        <v>9358</v>
      </c>
      <c r="L751" s="6" t="s">
        <v>9359</v>
      </c>
      <c r="M751" s="1" t="s">
        <v>5125</v>
      </c>
      <c r="N751" s="1" t="s">
        <v>9360</v>
      </c>
      <c r="O751" s="5">
        <v>35258.0</v>
      </c>
      <c r="R751" s="1" t="b">
        <v>0</v>
      </c>
      <c r="T751" s="1">
        <v>505.0</v>
      </c>
      <c r="U751" s="1" t="b">
        <v>0</v>
      </c>
      <c r="V751" s="1" t="s">
        <v>9361</v>
      </c>
      <c r="W751" s="1" t="s">
        <v>9362</v>
      </c>
      <c r="X751" s="1">
        <v>200.0</v>
      </c>
      <c r="Z751" s="1" t="s">
        <v>5548</v>
      </c>
      <c r="AE751" s="6" t="s">
        <v>9363</v>
      </c>
      <c r="AG751" s="5">
        <v>44817.0</v>
      </c>
    </row>
    <row r="752">
      <c r="A752" s="1">
        <v>527747.0</v>
      </c>
      <c r="B752" s="1">
        <v>0.0</v>
      </c>
      <c r="C752" s="1" t="s">
        <v>9364</v>
      </c>
      <c r="D752" s="1" t="s">
        <v>5068</v>
      </c>
      <c r="F752" s="1" t="s">
        <v>9365</v>
      </c>
      <c r="G752" s="1" t="s">
        <v>5136</v>
      </c>
      <c r="H752" s="1" t="s">
        <v>5102</v>
      </c>
      <c r="I752" s="1" t="s">
        <v>18</v>
      </c>
      <c r="J752" s="1" t="s">
        <v>5149</v>
      </c>
      <c r="K752" s="6" t="s">
        <v>9366</v>
      </c>
      <c r="L752" s="6" t="s">
        <v>9367</v>
      </c>
      <c r="M752" s="1" t="s">
        <v>5125</v>
      </c>
      <c r="N752" s="1" t="s">
        <v>9368</v>
      </c>
      <c r="O752" s="5">
        <v>35216.0</v>
      </c>
      <c r="R752" s="1" t="b">
        <v>0</v>
      </c>
      <c r="T752" s="1">
        <v>296.0</v>
      </c>
      <c r="U752" s="1" t="b">
        <v>0</v>
      </c>
      <c r="V752" s="1" t="s">
        <v>9369</v>
      </c>
      <c r="W752" s="1" t="s">
        <v>9370</v>
      </c>
      <c r="X752" s="1">
        <v>200.0</v>
      </c>
      <c r="Z752" s="1" t="s">
        <v>1357</v>
      </c>
      <c r="AE752" s="6" t="s">
        <v>9371</v>
      </c>
      <c r="AG752" s="5">
        <v>44817.0</v>
      </c>
    </row>
    <row r="753">
      <c r="A753" s="1">
        <v>527748.0</v>
      </c>
      <c r="B753" s="1">
        <v>0.0</v>
      </c>
      <c r="C753" s="1" t="s">
        <v>9372</v>
      </c>
      <c r="D753" s="1" t="s">
        <v>5068</v>
      </c>
      <c r="F753" s="1" t="s">
        <v>9373</v>
      </c>
      <c r="G753" s="1" t="s">
        <v>26</v>
      </c>
      <c r="H753" s="1" t="s">
        <v>5102</v>
      </c>
      <c r="I753" s="1" t="s">
        <v>18</v>
      </c>
      <c r="J753" s="1" t="s">
        <v>5149</v>
      </c>
      <c r="K753" s="6" t="s">
        <v>9374</v>
      </c>
      <c r="L753" s="6" t="s">
        <v>9375</v>
      </c>
      <c r="M753" s="1" t="s">
        <v>5125</v>
      </c>
      <c r="N753" s="1" t="s">
        <v>9376</v>
      </c>
      <c r="O753" s="5">
        <v>35146.0</v>
      </c>
      <c r="R753" s="1" t="b">
        <v>0</v>
      </c>
      <c r="T753" s="1">
        <v>296.0</v>
      </c>
      <c r="U753" s="1" t="b">
        <v>0</v>
      </c>
      <c r="V753" s="1" t="s">
        <v>7931</v>
      </c>
      <c r="W753" s="1" t="s">
        <v>9377</v>
      </c>
      <c r="X753" s="1">
        <v>200.0</v>
      </c>
      <c r="Z753" s="1" t="s">
        <v>1357</v>
      </c>
      <c r="AE753" s="6" t="s">
        <v>9378</v>
      </c>
      <c r="AG753" s="5">
        <v>44817.0</v>
      </c>
    </row>
    <row r="754">
      <c r="A754" s="1">
        <v>527749.0</v>
      </c>
      <c r="B754" s="1">
        <v>0.0</v>
      </c>
      <c r="C754" s="1" t="s">
        <v>9379</v>
      </c>
      <c r="D754" s="1" t="s">
        <v>5068</v>
      </c>
      <c r="F754" s="1" t="s">
        <v>9380</v>
      </c>
      <c r="G754" s="1" t="s">
        <v>5136</v>
      </c>
      <c r="H754" s="1" t="s">
        <v>5102</v>
      </c>
      <c r="I754" s="1" t="s">
        <v>18</v>
      </c>
      <c r="J754" s="1" t="s">
        <v>5149</v>
      </c>
      <c r="K754" s="1" t="s">
        <v>5072</v>
      </c>
      <c r="L754" s="6" t="s">
        <v>9381</v>
      </c>
      <c r="M754" s="1" t="s">
        <v>5125</v>
      </c>
      <c r="N754" s="1" t="s">
        <v>9382</v>
      </c>
      <c r="O754" s="5">
        <v>35482.0</v>
      </c>
      <c r="R754" s="1" t="b">
        <v>0</v>
      </c>
      <c r="T754" s="1">
        <v>296.0</v>
      </c>
      <c r="U754" s="1" t="b">
        <v>0</v>
      </c>
      <c r="V754" s="1" t="s">
        <v>9383</v>
      </c>
      <c r="X754" s="1">
        <v>200.0</v>
      </c>
      <c r="Z754" s="1" t="s">
        <v>1357</v>
      </c>
      <c r="AE754" s="6" t="s">
        <v>9384</v>
      </c>
      <c r="AG754" s="5">
        <v>44817.0</v>
      </c>
    </row>
    <row r="755">
      <c r="A755" s="1">
        <v>527750.0</v>
      </c>
      <c r="B755" s="1">
        <v>0.0</v>
      </c>
      <c r="C755" s="1" t="s">
        <v>9385</v>
      </c>
      <c r="D755" s="1" t="s">
        <v>5068</v>
      </c>
      <c r="F755" s="1" t="s">
        <v>9386</v>
      </c>
      <c r="G755" s="1" t="s">
        <v>26</v>
      </c>
      <c r="H755" s="1" t="s">
        <v>5102</v>
      </c>
      <c r="I755" s="1" t="s">
        <v>18</v>
      </c>
      <c r="J755" s="1" t="s">
        <v>5149</v>
      </c>
      <c r="K755" s="6" t="s">
        <v>9387</v>
      </c>
      <c r="L755" s="6" t="s">
        <v>9388</v>
      </c>
      <c r="M755" s="1" t="s">
        <v>5125</v>
      </c>
      <c r="N755" s="1" t="s">
        <v>9389</v>
      </c>
      <c r="O755" s="5">
        <v>43040.0</v>
      </c>
      <c r="R755" s="1" t="b">
        <v>0</v>
      </c>
      <c r="T755" s="1">
        <v>294.0</v>
      </c>
      <c r="U755" s="1" t="b">
        <v>0</v>
      </c>
      <c r="V755" s="1" t="s">
        <v>5153</v>
      </c>
      <c r="W755" s="1" t="s">
        <v>9390</v>
      </c>
      <c r="X755" s="1">
        <v>200.0</v>
      </c>
      <c r="Z755" s="1" t="s">
        <v>5148</v>
      </c>
      <c r="AE755" s="6" t="s">
        <v>9391</v>
      </c>
      <c r="AG755" s="5">
        <v>44817.0</v>
      </c>
    </row>
    <row r="756">
      <c r="A756" s="1">
        <v>527751.0</v>
      </c>
      <c r="B756" s="1">
        <v>0.0</v>
      </c>
      <c r="C756" s="1" t="s">
        <v>9392</v>
      </c>
      <c r="D756" s="1" t="s">
        <v>5068</v>
      </c>
      <c r="F756" s="1" t="s">
        <v>9393</v>
      </c>
      <c r="G756" s="1" t="s">
        <v>26</v>
      </c>
      <c r="H756" s="1" t="s">
        <v>5102</v>
      </c>
      <c r="I756" s="1" t="s">
        <v>18</v>
      </c>
      <c r="J756" s="1" t="s">
        <v>5149</v>
      </c>
      <c r="K756" s="6" t="s">
        <v>9394</v>
      </c>
      <c r="L756" s="6" t="s">
        <v>9395</v>
      </c>
      <c r="M756" s="1" t="s">
        <v>5125</v>
      </c>
      <c r="N756" s="1" t="s">
        <v>9396</v>
      </c>
      <c r="O756" s="5">
        <v>42426.0</v>
      </c>
      <c r="R756" s="1" t="b">
        <v>0</v>
      </c>
      <c r="T756" s="1">
        <v>296.0</v>
      </c>
      <c r="U756" s="1" t="b">
        <v>0</v>
      </c>
      <c r="V756" s="1" t="s">
        <v>9156</v>
      </c>
      <c r="W756" s="1" t="s">
        <v>9397</v>
      </c>
      <c r="X756" s="1">
        <v>200.0</v>
      </c>
      <c r="Y756" s="1" t="s">
        <v>5075</v>
      </c>
      <c r="Z756" s="1" t="s">
        <v>1357</v>
      </c>
      <c r="AE756" s="6" t="s">
        <v>9398</v>
      </c>
      <c r="AG756" s="5">
        <v>44817.0</v>
      </c>
    </row>
    <row r="757">
      <c r="A757" s="1">
        <v>527752.0</v>
      </c>
      <c r="B757" s="1">
        <v>0.0</v>
      </c>
      <c r="C757" s="1" t="s">
        <v>9399</v>
      </c>
      <c r="D757" s="1" t="s">
        <v>5068</v>
      </c>
      <c r="F757" s="1" t="s">
        <v>9400</v>
      </c>
      <c r="G757" s="1" t="s">
        <v>26</v>
      </c>
      <c r="H757" s="1" t="s">
        <v>5102</v>
      </c>
      <c r="I757" s="1" t="s">
        <v>18</v>
      </c>
      <c r="J757" s="1" t="s">
        <v>5149</v>
      </c>
      <c r="K757" s="6" t="s">
        <v>9401</v>
      </c>
      <c r="L757" s="6" t="s">
        <v>9402</v>
      </c>
      <c r="M757" s="1" t="s">
        <v>5125</v>
      </c>
      <c r="N757" s="1" t="s">
        <v>9403</v>
      </c>
      <c r="O757" s="5">
        <v>35146.0</v>
      </c>
      <c r="R757" s="1" t="b">
        <v>0</v>
      </c>
      <c r="T757" s="1">
        <v>294.0</v>
      </c>
      <c r="U757" s="1" t="b">
        <v>0</v>
      </c>
      <c r="V757" s="1" t="s">
        <v>6004</v>
      </c>
      <c r="W757" s="1" t="s">
        <v>9404</v>
      </c>
      <c r="X757" s="1">
        <v>200.0</v>
      </c>
      <c r="Z757" s="1" t="s">
        <v>5148</v>
      </c>
      <c r="AE757" s="6" t="s">
        <v>9405</v>
      </c>
      <c r="AG757" s="5">
        <v>44817.0</v>
      </c>
    </row>
    <row r="758">
      <c r="A758" s="1">
        <v>527753.0</v>
      </c>
      <c r="B758" s="1">
        <v>0.0</v>
      </c>
      <c r="C758" s="1" t="s">
        <v>9406</v>
      </c>
      <c r="D758" s="1" t="s">
        <v>5068</v>
      </c>
      <c r="F758" s="1" t="s">
        <v>9407</v>
      </c>
      <c r="G758" s="1" t="s">
        <v>26</v>
      </c>
      <c r="H758" s="1" t="s">
        <v>5102</v>
      </c>
      <c r="I758" s="1" t="s">
        <v>18</v>
      </c>
      <c r="J758" s="1" t="s">
        <v>5149</v>
      </c>
      <c r="K758" s="6" t="s">
        <v>9408</v>
      </c>
      <c r="L758" s="6" t="s">
        <v>9409</v>
      </c>
      <c r="M758" s="1" t="s">
        <v>5125</v>
      </c>
      <c r="N758" s="1" t="s">
        <v>9410</v>
      </c>
      <c r="O758" s="5">
        <v>35258.0</v>
      </c>
      <c r="R758" s="1" t="b">
        <v>0</v>
      </c>
      <c r="T758" s="1">
        <v>294.0</v>
      </c>
      <c r="U758" s="1" t="b">
        <v>0</v>
      </c>
      <c r="V758" s="1" t="s">
        <v>6143</v>
      </c>
      <c r="W758" s="1" t="s">
        <v>9411</v>
      </c>
      <c r="X758" s="1">
        <v>200.0</v>
      </c>
      <c r="Z758" s="1" t="s">
        <v>5148</v>
      </c>
      <c r="AE758" s="6" t="s">
        <v>9412</v>
      </c>
      <c r="AG758" s="5">
        <v>44817.0</v>
      </c>
    </row>
    <row r="759">
      <c r="A759" s="1">
        <v>529249.0</v>
      </c>
      <c r="B759" s="1">
        <v>0.0</v>
      </c>
      <c r="C759" s="1" t="s">
        <v>9413</v>
      </c>
      <c r="D759" s="1" t="s">
        <v>5068</v>
      </c>
      <c r="F759" s="1" t="s">
        <v>9414</v>
      </c>
      <c r="G759" s="1" t="s">
        <v>5899</v>
      </c>
      <c r="H759" s="1" t="s">
        <v>5102</v>
      </c>
      <c r="I759" s="1" t="s">
        <v>18</v>
      </c>
      <c r="J759" s="1" t="s">
        <v>5071</v>
      </c>
      <c r="K759" s="6" t="s">
        <v>9415</v>
      </c>
      <c r="L759" s="6" t="s">
        <v>9416</v>
      </c>
      <c r="M759" s="1" t="s">
        <v>5125</v>
      </c>
      <c r="N759" s="1" t="s">
        <v>9417</v>
      </c>
      <c r="O759" s="5">
        <v>33183.0</v>
      </c>
      <c r="P759" s="5">
        <v>33186.0</v>
      </c>
      <c r="R759" s="1" t="b">
        <v>0</v>
      </c>
      <c r="U759" s="1" t="b">
        <v>0</v>
      </c>
      <c r="V759" s="1" t="s">
        <v>9418</v>
      </c>
      <c r="W759" s="1" t="s">
        <v>9419</v>
      </c>
      <c r="X759" s="1">
        <v>200.0</v>
      </c>
      <c r="Y759" s="1" t="s">
        <v>5075</v>
      </c>
      <c r="AE759" s="6" t="s">
        <v>9420</v>
      </c>
      <c r="AG759" s="5">
        <v>44830.0</v>
      </c>
    </row>
    <row r="760">
      <c r="A760" s="1">
        <v>529250.0</v>
      </c>
      <c r="B760" s="1">
        <v>0.0</v>
      </c>
      <c r="C760" s="1" t="s">
        <v>9421</v>
      </c>
      <c r="D760" s="1" t="s">
        <v>5081</v>
      </c>
      <c r="F760" s="1" t="s">
        <v>9422</v>
      </c>
      <c r="G760" s="1" t="s">
        <v>5899</v>
      </c>
      <c r="H760" s="1" t="s">
        <v>5102</v>
      </c>
      <c r="I760" s="1" t="s">
        <v>18</v>
      </c>
      <c r="J760" s="1" t="s">
        <v>5071</v>
      </c>
      <c r="K760" s="6" t="s">
        <v>9423</v>
      </c>
      <c r="L760" s="6" t="s">
        <v>9424</v>
      </c>
      <c r="M760" s="1" t="s">
        <v>5125</v>
      </c>
      <c r="N760" s="1" t="s">
        <v>5125</v>
      </c>
      <c r="O760" s="5">
        <v>33183.0</v>
      </c>
      <c r="P760" s="5">
        <v>33186.0</v>
      </c>
      <c r="R760" s="1" t="b">
        <v>0</v>
      </c>
      <c r="U760" s="1" t="b">
        <v>0</v>
      </c>
      <c r="V760" s="1" t="s">
        <v>9418</v>
      </c>
      <c r="W760" s="1" t="s">
        <v>9419</v>
      </c>
      <c r="X760" s="1">
        <v>200.0</v>
      </c>
      <c r="AA760" s="1" t="s">
        <v>9414</v>
      </c>
      <c r="AE760" s="6" t="s">
        <v>9425</v>
      </c>
      <c r="AG760" s="5">
        <v>44830.0</v>
      </c>
    </row>
    <row r="761">
      <c r="A761" s="1">
        <v>529251.0</v>
      </c>
      <c r="B761" s="1">
        <v>0.0</v>
      </c>
      <c r="C761" s="1" t="s">
        <v>9426</v>
      </c>
      <c r="D761" s="1" t="s">
        <v>5068</v>
      </c>
      <c r="F761" s="1" t="s">
        <v>9427</v>
      </c>
      <c r="G761" s="1" t="s">
        <v>5899</v>
      </c>
      <c r="H761" s="1" t="s">
        <v>5102</v>
      </c>
      <c r="I761" s="1" t="s">
        <v>18</v>
      </c>
      <c r="J761" s="1" t="s">
        <v>5071</v>
      </c>
      <c r="K761" s="6" t="s">
        <v>9428</v>
      </c>
      <c r="L761" s="6" t="s">
        <v>9429</v>
      </c>
      <c r="M761" s="1" t="s">
        <v>5125</v>
      </c>
      <c r="N761" s="1" t="s">
        <v>9430</v>
      </c>
      <c r="O761" s="5">
        <v>34751.0</v>
      </c>
      <c r="R761" s="1" t="b">
        <v>0</v>
      </c>
      <c r="T761" s="1">
        <v>4272.0</v>
      </c>
      <c r="U761" s="1" t="b">
        <v>0</v>
      </c>
      <c r="V761" s="1" t="s">
        <v>6198</v>
      </c>
      <c r="W761" s="1" t="s">
        <v>9431</v>
      </c>
      <c r="X761" s="1">
        <v>200.0</v>
      </c>
      <c r="Y761" s="1" t="s">
        <v>5075</v>
      </c>
      <c r="Z761" s="1" t="s">
        <v>445</v>
      </c>
      <c r="AE761" s="6" t="s">
        <v>9432</v>
      </c>
      <c r="AG761" s="5">
        <v>44830.0</v>
      </c>
    </row>
    <row r="762">
      <c r="A762" s="1">
        <v>529252.0</v>
      </c>
      <c r="B762" s="1">
        <v>0.0</v>
      </c>
      <c r="C762" s="1" t="s">
        <v>9433</v>
      </c>
      <c r="D762" s="1" t="s">
        <v>5081</v>
      </c>
      <c r="F762" s="1" t="s">
        <v>9434</v>
      </c>
      <c r="G762" s="1" t="s">
        <v>5899</v>
      </c>
      <c r="H762" s="1" t="s">
        <v>5102</v>
      </c>
      <c r="I762" s="1" t="s">
        <v>18</v>
      </c>
      <c r="J762" s="1" t="s">
        <v>5071</v>
      </c>
      <c r="K762" s="6" t="s">
        <v>9435</v>
      </c>
      <c r="L762" s="6" t="s">
        <v>9436</v>
      </c>
      <c r="M762" s="1" t="s">
        <v>5125</v>
      </c>
      <c r="N762" s="1" t="s">
        <v>5125</v>
      </c>
      <c r="O762" s="5">
        <v>34751.0</v>
      </c>
      <c r="R762" s="1" t="b">
        <v>0</v>
      </c>
      <c r="T762" s="1">
        <v>4272.0</v>
      </c>
      <c r="U762" s="1" t="b">
        <v>0</v>
      </c>
      <c r="V762" s="1" t="s">
        <v>6198</v>
      </c>
      <c r="W762" s="1" t="s">
        <v>9431</v>
      </c>
      <c r="X762" s="1">
        <v>200.0</v>
      </c>
      <c r="Z762" s="1" t="s">
        <v>445</v>
      </c>
      <c r="AA762" s="1" t="s">
        <v>9427</v>
      </c>
      <c r="AE762" s="6" t="s">
        <v>9437</v>
      </c>
      <c r="AG762" s="5">
        <v>44830.0</v>
      </c>
    </row>
    <row r="763">
      <c r="A763" s="1">
        <v>529253.0</v>
      </c>
      <c r="B763" s="1">
        <v>0.0</v>
      </c>
      <c r="C763" s="1" t="s">
        <v>9438</v>
      </c>
      <c r="D763" s="1" t="s">
        <v>5068</v>
      </c>
      <c r="F763" s="1" t="s">
        <v>9439</v>
      </c>
      <c r="G763" s="1" t="s">
        <v>5899</v>
      </c>
      <c r="H763" s="1" t="s">
        <v>5102</v>
      </c>
      <c r="I763" s="1" t="s">
        <v>18</v>
      </c>
      <c r="J763" s="1" t="s">
        <v>5071</v>
      </c>
      <c r="K763" s="6" t="s">
        <v>9440</v>
      </c>
      <c r="L763" s="6" t="s">
        <v>9441</v>
      </c>
      <c r="M763" s="1" t="s">
        <v>5125</v>
      </c>
      <c r="N763" s="1" t="s">
        <v>9442</v>
      </c>
      <c r="O763" s="5">
        <v>42419.0</v>
      </c>
      <c r="P763" s="5">
        <v>42427.0</v>
      </c>
      <c r="R763" s="1" t="b">
        <v>0</v>
      </c>
      <c r="T763" s="1">
        <v>4272.0</v>
      </c>
      <c r="U763" s="1" t="b">
        <v>0</v>
      </c>
      <c r="V763" s="1" t="s">
        <v>9443</v>
      </c>
      <c r="W763" s="1" t="s">
        <v>9444</v>
      </c>
      <c r="X763" s="1">
        <v>200.0</v>
      </c>
      <c r="Y763" s="1" t="s">
        <v>5075</v>
      </c>
      <c r="Z763" s="1" t="s">
        <v>445</v>
      </c>
      <c r="AE763" s="6" t="s">
        <v>9445</v>
      </c>
      <c r="AG763" s="5">
        <v>44830.0</v>
      </c>
    </row>
    <row r="764">
      <c r="A764" s="1">
        <v>529254.0</v>
      </c>
      <c r="B764" s="1">
        <v>0.0</v>
      </c>
      <c r="C764" s="1" t="s">
        <v>9446</v>
      </c>
      <c r="D764" s="1" t="s">
        <v>5081</v>
      </c>
      <c r="F764" s="1" t="s">
        <v>9447</v>
      </c>
      <c r="G764" s="1" t="s">
        <v>5899</v>
      </c>
      <c r="H764" s="1" t="s">
        <v>5102</v>
      </c>
      <c r="I764" s="1" t="s">
        <v>18</v>
      </c>
      <c r="J764" s="1" t="s">
        <v>5071</v>
      </c>
      <c r="K764" s="6" t="s">
        <v>9448</v>
      </c>
      <c r="L764" s="6" t="s">
        <v>9449</v>
      </c>
      <c r="M764" s="1" t="s">
        <v>5125</v>
      </c>
      <c r="N764" s="1" t="s">
        <v>5125</v>
      </c>
      <c r="O764" s="5">
        <v>42419.0</v>
      </c>
      <c r="P764" s="5">
        <v>42427.0</v>
      </c>
      <c r="R764" s="1" t="b">
        <v>0</v>
      </c>
      <c r="T764" s="1">
        <v>4272.0</v>
      </c>
      <c r="U764" s="1" t="b">
        <v>0</v>
      </c>
      <c r="V764" s="1" t="s">
        <v>9443</v>
      </c>
      <c r="W764" s="1" t="s">
        <v>9444</v>
      </c>
      <c r="X764" s="1">
        <v>200.0</v>
      </c>
      <c r="Z764" s="1" t="s">
        <v>445</v>
      </c>
      <c r="AA764" s="1" t="s">
        <v>9439</v>
      </c>
      <c r="AE764" s="6" t="s">
        <v>9450</v>
      </c>
      <c r="AG764" s="5">
        <v>44830.0</v>
      </c>
    </row>
    <row r="765">
      <c r="A765" s="1">
        <v>529255.0</v>
      </c>
      <c r="B765" s="1">
        <v>0.0</v>
      </c>
      <c r="C765" s="1" t="s">
        <v>9451</v>
      </c>
      <c r="D765" s="1" t="s">
        <v>5068</v>
      </c>
      <c r="F765" s="1" t="s">
        <v>9452</v>
      </c>
      <c r="G765" s="1" t="s">
        <v>5899</v>
      </c>
      <c r="H765" s="1" t="s">
        <v>5102</v>
      </c>
      <c r="I765" s="1" t="s">
        <v>18</v>
      </c>
      <c r="J765" s="1" t="s">
        <v>5071</v>
      </c>
      <c r="K765" s="6" t="s">
        <v>9453</v>
      </c>
      <c r="L765" s="6" t="s">
        <v>9454</v>
      </c>
      <c r="M765" s="1" t="s">
        <v>5125</v>
      </c>
      <c r="N765" s="1" t="s">
        <v>9455</v>
      </c>
      <c r="O765" s="5">
        <v>32268.0</v>
      </c>
      <c r="R765" s="1" t="b">
        <v>0</v>
      </c>
      <c r="T765" s="1">
        <v>4272.0</v>
      </c>
      <c r="U765" s="1" t="b">
        <v>0</v>
      </c>
      <c r="V765" s="1" t="s">
        <v>9456</v>
      </c>
      <c r="W765" s="1" t="s">
        <v>9457</v>
      </c>
      <c r="X765" s="1">
        <v>200.0</v>
      </c>
      <c r="Y765" s="1" t="s">
        <v>5075</v>
      </c>
      <c r="Z765" s="1" t="s">
        <v>445</v>
      </c>
      <c r="AE765" s="6" t="s">
        <v>9458</v>
      </c>
      <c r="AG765" s="5">
        <v>44830.0</v>
      </c>
    </row>
    <row r="766">
      <c r="A766" s="1">
        <v>529256.0</v>
      </c>
      <c r="B766" s="1">
        <v>0.0</v>
      </c>
      <c r="C766" s="1" t="s">
        <v>9459</v>
      </c>
      <c r="D766" s="1" t="s">
        <v>5081</v>
      </c>
      <c r="F766" s="1" t="s">
        <v>9460</v>
      </c>
      <c r="G766" s="1" t="s">
        <v>5899</v>
      </c>
      <c r="H766" s="1" t="s">
        <v>5102</v>
      </c>
      <c r="I766" s="1" t="s">
        <v>18</v>
      </c>
      <c r="J766" s="1" t="s">
        <v>5071</v>
      </c>
      <c r="K766" s="6" t="s">
        <v>9461</v>
      </c>
      <c r="L766" s="6" t="s">
        <v>9462</v>
      </c>
      <c r="M766" s="1" t="s">
        <v>5125</v>
      </c>
      <c r="N766" s="1" t="s">
        <v>5125</v>
      </c>
      <c r="O766" s="5">
        <v>32268.0</v>
      </c>
      <c r="R766" s="1" t="b">
        <v>0</v>
      </c>
      <c r="T766" s="1">
        <v>4272.0</v>
      </c>
      <c r="U766" s="1" t="b">
        <v>0</v>
      </c>
      <c r="V766" s="1" t="s">
        <v>9456</v>
      </c>
      <c r="W766" s="1" t="s">
        <v>9457</v>
      </c>
      <c r="X766" s="1">
        <v>200.0</v>
      </c>
      <c r="Z766" s="1" t="s">
        <v>445</v>
      </c>
      <c r="AA766" s="1" t="s">
        <v>9452</v>
      </c>
      <c r="AE766" s="6" t="s">
        <v>9463</v>
      </c>
      <c r="AG766" s="5">
        <v>44830.0</v>
      </c>
    </row>
    <row r="767">
      <c r="A767" s="1">
        <v>529257.0</v>
      </c>
      <c r="B767" s="1">
        <v>0.0</v>
      </c>
      <c r="C767" s="1" t="s">
        <v>9464</v>
      </c>
      <c r="D767" s="1" t="s">
        <v>5068</v>
      </c>
      <c r="F767" s="1" t="s">
        <v>9465</v>
      </c>
      <c r="G767" s="1" t="s">
        <v>26</v>
      </c>
      <c r="H767" s="1" t="s">
        <v>5102</v>
      </c>
      <c r="I767" s="1" t="s">
        <v>18</v>
      </c>
      <c r="J767" s="1" t="s">
        <v>5071</v>
      </c>
      <c r="K767" s="6" t="s">
        <v>9466</v>
      </c>
      <c r="L767" s="6" t="s">
        <v>9467</v>
      </c>
      <c r="M767" s="1" t="s">
        <v>5125</v>
      </c>
      <c r="N767" s="1" t="s">
        <v>9468</v>
      </c>
      <c r="O767" s="5">
        <v>37770.0</v>
      </c>
      <c r="P767" s="5">
        <v>37770.0</v>
      </c>
      <c r="R767" s="1" t="b">
        <v>0</v>
      </c>
      <c r="T767" s="1">
        <v>4272.0</v>
      </c>
      <c r="U767" s="1" t="b">
        <v>0</v>
      </c>
      <c r="V767" s="1" t="s">
        <v>9469</v>
      </c>
      <c r="W767" s="1" t="s">
        <v>9470</v>
      </c>
      <c r="X767" s="1">
        <v>200.0</v>
      </c>
      <c r="Y767" s="1" t="s">
        <v>5075</v>
      </c>
      <c r="Z767" s="1" t="s">
        <v>445</v>
      </c>
      <c r="AE767" s="6" t="s">
        <v>9471</v>
      </c>
      <c r="AG767" s="5">
        <v>44830.0</v>
      </c>
    </row>
    <row r="768">
      <c r="A768" s="1">
        <v>529258.0</v>
      </c>
      <c r="B768" s="1">
        <v>0.0</v>
      </c>
      <c r="C768" s="1" t="s">
        <v>9472</v>
      </c>
      <c r="D768" s="1" t="s">
        <v>5081</v>
      </c>
      <c r="F768" s="1" t="s">
        <v>9473</v>
      </c>
      <c r="G768" s="1" t="s">
        <v>26</v>
      </c>
      <c r="H768" s="1" t="s">
        <v>5102</v>
      </c>
      <c r="I768" s="1" t="s">
        <v>18</v>
      </c>
      <c r="J768" s="1" t="s">
        <v>5071</v>
      </c>
      <c r="K768" s="6" t="s">
        <v>9474</v>
      </c>
      <c r="L768" s="6" t="s">
        <v>9475</v>
      </c>
      <c r="M768" s="1" t="s">
        <v>5125</v>
      </c>
      <c r="N768" s="1" t="s">
        <v>5125</v>
      </c>
      <c r="O768" s="5">
        <v>37770.0</v>
      </c>
      <c r="P768" s="5">
        <v>37770.0</v>
      </c>
      <c r="R768" s="1" t="b">
        <v>0</v>
      </c>
      <c r="T768" s="1">
        <v>4272.0</v>
      </c>
      <c r="U768" s="1" t="b">
        <v>0</v>
      </c>
      <c r="V768" s="1" t="s">
        <v>9469</v>
      </c>
      <c r="W768" s="1" t="s">
        <v>9470</v>
      </c>
      <c r="X768" s="1">
        <v>200.0</v>
      </c>
      <c r="Z768" s="1" t="s">
        <v>445</v>
      </c>
      <c r="AA768" s="1" t="s">
        <v>9465</v>
      </c>
      <c r="AE768" s="6" t="s">
        <v>9476</v>
      </c>
      <c r="AG768" s="5">
        <v>44830.0</v>
      </c>
    </row>
    <row r="769">
      <c r="A769" s="1">
        <v>529259.0</v>
      </c>
      <c r="B769" s="1">
        <v>0.0</v>
      </c>
      <c r="C769" s="1" t="s">
        <v>9477</v>
      </c>
      <c r="D769" s="1" t="s">
        <v>5068</v>
      </c>
      <c r="F769" s="1" t="s">
        <v>9478</v>
      </c>
      <c r="G769" s="1" t="s">
        <v>5899</v>
      </c>
      <c r="H769" s="1" t="s">
        <v>5102</v>
      </c>
      <c r="I769" s="1" t="s">
        <v>18</v>
      </c>
      <c r="J769" s="1" t="s">
        <v>5071</v>
      </c>
      <c r="K769" s="6" t="s">
        <v>9479</v>
      </c>
      <c r="L769" s="6" t="s">
        <v>9480</v>
      </c>
      <c r="M769" s="1" t="s">
        <v>5125</v>
      </c>
      <c r="N769" s="1" t="s">
        <v>9481</v>
      </c>
      <c r="O769" s="5">
        <v>33186.0</v>
      </c>
      <c r="R769" s="1" t="b">
        <v>0</v>
      </c>
      <c r="T769" s="1">
        <v>529249.0</v>
      </c>
      <c r="U769" s="1" t="b">
        <v>0</v>
      </c>
      <c r="V769" s="1" t="s">
        <v>9482</v>
      </c>
      <c r="W769" s="1" t="s">
        <v>9483</v>
      </c>
      <c r="X769" s="1">
        <v>200.0</v>
      </c>
      <c r="Y769" s="1" t="s">
        <v>5075</v>
      </c>
      <c r="Z769" s="1" t="s">
        <v>9414</v>
      </c>
      <c r="AE769" s="6" t="s">
        <v>9484</v>
      </c>
      <c r="AG769" s="5">
        <v>44830.0</v>
      </c>
    </row>
    <row r="770">
      <c r="A770" s="1">
        <v>529260.0</v>
      </c>
      <c r="B770" s="1">
        <v>0.0</v>
      </c>
      <c r="C770" s="1" t="s">
        <v>9485</v>
      </c>
      <c r="D770" s="1" t="s">
        <v>5081</v>
      </c>
      <c r="F770" s="1" t="s">
        <v>9486</v>
      </c>
      <c r="G770" s="1" t="s">
        <v>5899</v>
      </c>
      <c r="H770" s="1" t="s">
        <v>5102</v>
      </c>
      <c r="I770" s="1" t="s">
        <v>18</v>
      </c>
      <c r="J770" s="1" t="s">
        <v>5071</v>
      </c>
      <c r="K770" s="6" t="s">
        <v>9487</v>
      </c>
      <c r="L770" s="6" t="s">
        <v>9488</v>
      </c>
      <c r="M770" s="1" t="s">
        <v>5125</v>
      </c>
      <c r="N770" s="1" t="s">
        <v>5125</v>
      </c>
      <c r="O770" s="5">
        <v>33186.0</v>
      </c>
      <c r="R770" s="1" t="b">
        <v>0</v>
      </c>
      <c r="T770" s="1">
        <v>529249.0</v>
      </c>
      <c r="U770" s="1" t="b">
        <v>0</v>
      </c>
      <c r="V770" s="1" t="s">
        <v>9482</v>
      </c>
      <c r="W770" s="1" t="s">
        <v>9483</v>
      </c>
      <c r="X770" s="1">
        <v>200.0</v>
      </c>
      <c r="Z770" s="1" t="s">
        <v>9414</v>
      </c>
      <c r="AA770" s="1" t="s">
        <v>9478</v>
      </c>
      <c r="AE770" s="6" t="s">
        <v>9489</v>
      </c>
      <c r="AG770" s="5">
        <v>44830.0</v>
      </c>
    </row>
    <row r="771">
      <c r="A771" s="1">
        <v>529405.0</v>
      </c>
      <c r="B771" s="1">
        <v>0.0</v>
      </c>
      <c r="C771" s="1" t="s">
        <v>9490</v>
      </c>
      <c r="D771" s="1" t="s">
        <v>5068</v>
      </c>
      <c r="F771" s="1" t="s">
        <v>9491</v>
      </c>
      <c r="G771" s="1" t="s">
        <v>26</v>
      </c>
      <c r="H771" s="1" t="s">
        <v>5102</v>
      </c>
      <c r="I771" s="1" t="s">
        <v>18</v>
      </c>
      <c r="J771" s="1" t="s">
        <v>486</v>
      </c>
      <c r="K771" s="1" t="s">
        <v>5072</v>
      </c>
      <c r="L771" s="6" t="s">
        <v>9492</v>
      </c>
      <c r="M771" s="1" t="s">
        <v>5125</v>
      </c>
      <c r="N771" s="1" t="s">
        <v>9493</v>
      </c>
      <c r="R771" s="1" t="b">
        <v>0</v>
      </c>
      <c r="T771" s="1">
        <v>454734.0</v>
      </c>
      <c r="U771" s="1" t="b">
        <v>0</v>
      </c>
      <c r="V771" s="1" t="s">
        <v>9274</v>
      </c>
      <c r="X771" s="1">
        <v>200.0</v>
      </c>
      <c r="Z771" s="1" t="s">
        <v>488</v>
      </c>
      <c r="AE771" s="6" t="s">
        <v>9494</v>
      </c>
      <c r="AG771" s="5">
        <v>44830.0</v>
      </c>
    </row>
    <row r="772">
      <c r="A772" s="1">
        <v>529406.0</v>
      </c>
      <c r="B772" s="1">
        <v>0.0</v>
      </c>
      <c r="C772" s="1" t="s">
        <v>9495</v>
      </c>
      <c r="D772" s="1" t="s">
        <v>5068</v>
      </c>
      <c r="F772" s="1" t="s">
        <v>9496</v>
      </c>
      <c r="G772" s="1" t="s">
        <v>26</v>
      </c>
      <c r="H772" s="1" t="s">
        <v>5102</v>
      </c>
      <c r="I772" s="1" t="s">
        <v>18</v>
      </c>
      <c r="J772" s="1" t="s">
        <v>486</v>
      </c>
      <c r="K772" s="6" t="s">
        <v>9497</v>
      </c>
      <c r="L772" s="6" t="s">
        <v>9498</v>
      </c>
      <c r="M772" s="1" t="s">
        <v>5125</v>
      </c>
      <c r="N772" s="1" t="s">
        <v>9499</v>
      </c>
      <c r="R772" s="1" t="b">
        <v>0</v>
      </c>
      <c r="T772" s="1">
        <v>454734.0</v>
      </c>
      <c r="U772" s="1" t="b">
        <v>0</v>
      </c>
      <c r="V772" s="1" t="s">
        <v>6004</v>
      </c>
      <c r="W772" s="1" t="s">
        <v>9500</v>
      </c>
      <c r="X772" s="1">
        <v>200.0</v>
      </c>
      <c r="Z772" s="1" t="s">
        <v>488</v>
      </c>
      <c r="AE772" s="6" t="s">
        <v>9501</v>
      </c>
      <c r="AG772" s="5">
        <v>44830.0</v>
      </c>
    </row>
    <row r="773">
      <c r="A773" s="1">
        <v>529407.0</v>
      </c>
      <c r="B773" s="1">
        <v>0.0</v>
      </c>
      <c r="C773" s="1" t="s">
        <v>9502</v>
      </c>
      <c r="D773" s="1" t="s">
        <v>5068</v>
      </c>
      <c r="F773" s="1" t="s">
        <v>9503</v>
      </c>
      <c r="G773" s="1" t="s">
        <v>26</v>
      </c>
      <c r="H773" s="1" t="s">
        <v>5102</v>
      </c>
      <c r="I773" s="1" t="s">
        <v>18</v>
      </c>
      <c r="J773" s="1" t="s">
        <v>486</v>
      </c>
      <c r="K773" s="6" t="s">
        <v>9504</v>
      </c>
      <c r="L773" s="6" t="s">
        <v>9505</v>
      </c>
      <c r="M773" s="1" t="s">
        <v>5125</v>
      </c>
      <c r="N773" s="1" t="s">
        <v>9506</v>
      </c>
      <c r="R773" s="1" t="b">
        <v>0</v>
      </c>
      <c r="T773" s="1">
        <v>454734.0</v>
      </c>
      <c r="U773" s="1" t="b">
        <v>0</v>
      </c>
      <c r="V773" s="1" t="s">
        <v>6004</v>
      </c>
      <c r="W773" s="1" t="s">
        <v>9507</v>
      </c>
      <c r="X773" s="1">
        <v>200.0</v>
      </c>
      <c r="Z773" s="1" t="s">
        <v>488</v>
      </c>
      <c r="AE773" s="6" t="s">
        <v>9508</v>
      </c>
      <c r="AG773" s="5">
        <v>44830.0</v>
      </c>
    </row>
    <row r="774">
      <c r="A774" s="1">
        <v>529408.0</v>
      </c>
      <c r="B774" s="1">
        <v>0.0</v>
      </c>
      <c r="C774" s="1" t="s">
        <v>9509</v>
      </c>
      <c r="D774" s="1" t="s">
        <v>5068</v>
      </c>
      <c r="F774" s="1" t="s">
        <v>9510</v>
      </c>
      <c r="G774" s="1" t="s">
        <v>26</v>
      </c>
      <c r="H774" s="1" t="s">
        <v>5102</v>
      </c>
      <c r="I774" s="1" t="s">
        <v>18</v>
      </c>
      <c r="J774" s="1" t="s">
        <v>486</v>
      </c>
      <c r="K774" s="6" t="s">
        <v>9511</v>
      </c>
      <c r="L774" s="6" t="s">
        <v>9512</v>
      </c>
      <c r="M774" s="1" t="s">
        <v>5125</v>
      </c>
      <c r="N774" s="1" t="s">
        <v>9513</v>
      </c>
      <c r="R774" s="1" t="b">
        <v>0</v>
      </c>
      <c r="T774" s="1">
        <v>454734.0</v>
      </c>
      <c r="U774" s="1" t="b">
        <v>0</v>
      </c>
      <c r="V774" s="1" t="s">
        <v>6125</v>
      </c>
      <c r="X774" s="1">
        <v>200.0</v>
      </c>
      <c r="Z774" s="1" t="s">
        <v>488</v>
      </c>
      <c r="AE774" s="6" t="s">
        <v>9514</v>
      </c>
      <c r="AG774" s="5">
        <v>44830.0</v>
      </c>
    </row>
    <row r="775">
      <c r="A775" s="1">
        <v>534824.0</v>
      </c>
      <c r="B775" s="1">
        <v>0.0</v>
      </c>
      <c r="C775" s="1" t="s">
        <v>9515</v>
      </c>
      <c r="D775" s="1" t="s">
        <v>5068</v>
      </c>
      <c r="F775" s="1" t="s">
        <v>9516</v>
      </c>
      <c r="G775" s="1" t="s">
        <v>9517</v>
      </c>
      <c r="H775" s="1" t="s">
        <v>5102</v>
      </c>
      <c r="I775" s="1" t="s">
        <v>18</v>
      </c>
      <c r="J775" s="1" t="s">
        <v>486</v>
      </c>
      <c r="K775" s="6" t="s">
        <v>9518</v>
      </c>
      <c r="L775" s="6" t="s">
        <v>9519</v>
      </c>
      <c r="M775" s="1" t="s">
        <v>5125</v>
      </c>
      <c r="N775" s="1" t="s">
        <v>9520</v>
      </c>
      <c r="R775" s="1" t="b">
        <v>0</v>
      </c>
      <c r="U775" s="1" t="b">
        <v>0</v>
      </c>
      <c r="V775" s="1" t="s">
        <v>9521</v>
      </c>
      <c r="W775" s="1" t="s">
        <v>9522</v>
      </c>
      <c r="X775" s="1">
        <v>200.0</v>
      </c>
      <c r="AE775" s="6" t="s">
        <v>9523</v>
      </c>
      <c r="AG775" s="5">
        <v>44860.0</v>
      </c>
    </row>
    <row r="776">
      <c r="A776" s="1">
        <v>534843.0</v>
      </c>
      <c r="B776" s="1">
        <v>0.0</v>
      </c>
      <c r="C776" s="1" t="s">
        <v>9524</v>
      </c>
      <c r="D776" s="1" t="s">
        <v>5068</v>
      </c>
      <c r="F776" s="1" t="s">
        <v>9525</v>
      </c>
      <c r="G776" s="1" t="s">
        <v>5368</v>
      </c>
      <c r="H776" s="1" t="s">
        <v>5102</v>
      </c>
      <c r="I776" s="1" t="s">
        <v>18</v>
      </c>
      <c r="J776" s="1" t="s">
        <v>486</v>
      </c>
      <c r="K776" s="6" t="s">
        <v>9526</v>
      </c>
      <c r="L776" s="6" t="s">
        <v>9527</v>
      </c>
      <c r="M776" s="1" t="s">
        <v>5125</v>
      </c>
      <c r="N776" s="1" t="s">
        <v>9528</v>
      </c>
      <c r="R776" s="1" t="b">
        <v>0</v>
      </c>
      <c r="T776" s="1">
        <v>534824.0</v>
      </c>
      <c r="U776" s="1" t="b">
        <v>0</v>
      </c>
      <c r="V776" s="1" t="s">
        <v>9529</v>
      </c>
      <c r="X776" s="1">
        <v>200.0</v>
      </c>
      <c r="Z776" s="1" t="s">
        <v>9516</v>
      </c>
      <c r="AE776" s="6" t="s">
        <v>9530</v>
      </c>
      <c r="AG776" s="5">
        <v>44860.0</v>
      </c>
    </row>
    <row r="777">
      <c r="A777" s="1">
        <v>534891.0</v>
      </c>
      <c r="B777" s="1">
        <v>0.0</v>
      </c>
      <c r="C777" s="1" t="s">
        <v>9531</v>
      </c>
      <c r="D777" s="1" t="s">
        <v>5068</v>
      </c>
      <c r="F777" s="1" t="s">
        <v>9532</v>
      </c>
      <c r="G777" s="1" t="s">
        <v>26</v>
      </c>
      <c r="H777" s="1" t="s">
        <v>5102</v>
      </c>
      <c r="I777" s="1" t="s">
        <v>18</v>
      </c>
      <c r="J777" s="1" t="s">
        <v>5149</v>
      </c>
      <c r="K777" s="6" t="s">
        <v>9533</v>
      </c>
      <c r="L777" s="6" t="s">
        <v>9534</v>
      </c>
      <c r="M777" s="1" t="s">
        <v>5125</v>
      </c>
      <c r="N777" s="1" t="s">
        <v>9535</v>
      </c>
      <c r="O777" s="5">
        <v>35195.0</v>
      </c>
      <c r="R777" s="1" t="b">
        <v>0</v>
      </c>
      <c r="T777" s="1">
        <v>201.0</v>
      </c>
      <c r="U777" s="1" t="b">
        <v>0</v>
      </c>
      <c r="V777" s="1" t="s">
        <v>5306</v>
      </c>
      <c r="W777" s="1" t="s">
        <v>9536</v>
      </c>
      <c r="X777" s="1">
        <v>200.0</v>
      </c>
      <c r="Z777" s="1" t="s">
        <v>5386</v>
      </c>
      <c r="AE777" s="6" t="s">
        <v>9537</v>
      </c>
      <c r="AG777" s="5">
        <v>44860.0</v>
      </c>
    </row>
    <row r="778">
      <c r="A778" s="1">
        <v>541640.0</v>
      </c>
      <c r="B778" s="1">
        <v>0.0</v>
      </c>
      <c r="C778" s="1" t="s">
        <v>79</v>
      </c>
      <c r="D778" s="1" t="s">
        <v>5068</v>
      </c>
      <c r="F778" s="1" t="s">
        <v>80</v>
      </c>
      <c r="G778" s="1" t="s">
        <v>5122</v>
      </c>
      <c r="H778" s="1" t="s">
        <v>5102</v>
      </c>
      <c r="I778" s="1" t="s">
        <v>7579</v>
      </c>
      <c r="J778" s="1" t="s">
        <v>24</v>
      </c>
      <c r="K778" s="6" t="s">
        <v>9538</v>
      </c>
      <c r="L778" s="6" t="s">
        <v>9539</v>
      </c>
      <c r="M778" s="1" t="s">
        <v>9540</v>
      </c>
      <c r="O778" s="5">
        <v>44886.0</v>
      </c>
      <c r="R778" s="1" t="b">
        <v>0</v>
      </c>
      <c r="U778" s="1" t="b">
        <v>1</v>
      </c>
      <c r="V778" s="1" t="s">
        <v>6982</v>
      </c>
      <c r="X778" s="1">
        <v>200.0</v>
      </c>
      <c r="Y778" s="1" t="s">
        <v>5075</v>
      </c>
      <c r="AG778" s="5">
        <v>44888.0</v>
      </c>
    </row>
    <row r="779">
      <c r="A779" s="1">
        <v>543599.0</v>
      </c>
      <c r="B779" s="1">
        <v>0.0</v>
      </c>
      <c r="C779" s="1" t="s">
        <v>71</v>
      </c>
      <c r="D779" s="1" t="s">
        <v>5068</v>
      </c>
      <c r="F779" s="1" t="s">
        <v>72</v>
      </c>
      <c r="G779" s="1" t="s">
        <v>5368</v>
      </c>
      <c r="H779" s="1" t="s">
        <v>5102</v>
      </c>
      <c r="I779" s="1" t="s">
        <v>7579</v>
      </c>
      <c r="J779" s="1" t="s">
        <v>70</v>
      </c>
      <c r="K779" s="6" t="s">
        <v>9541</v>
      </c>
      <c r="L779" s="6" t="s">
        <v>9542</v>
      </c>
      <c r="M779" s="1" t="s">
        <v>9543</v>
      </c>
      <c r="O779" s="5">
        <v>44888.0</v>
      </c>
      <c r="R779" s="1" t="b">
        <v>0</v>
      </c>
      <c r="U779" s="1" t="b">
        <v>1</v>
      </c>
      <c r="V779" s="1" t="s">
        <v>6982</v>
      </c>
      <c r="X779" s="1">
        <v>200.0</v>
      </c>
      <c r="Y779" s="1" t="s">
        <v>5075</v>
      </c>
      <c r="AG779" s="5">
        <v>44890.0</v>
      </c>
    </row>
    <row r="780">
      <c r="A780" s="1">
        <v>544868.0</v>
      </c>
      <c r="B780" s="1">
        <v>0.0</v>
      </c>
      <c r="C780" s="1" t="s">
        <v>22</v>
      </c>
      <c r="D780" s="1" t="s">
        <v>5068</v>
      </c>
      <c r="F780" s="1" t="s">
        <v>23</v>
      </c>
      <c r="G780" s="1" t="s">
        <v>9544</v>
      </c>
      <c r="H780" s="1" t="s">
        <v>5070</v>
      </c>
      <c r="I780" s="1" t="s">
        <v>18</v>
      </c>
      <c r="J780" s="1" t="s">
        <v>21</v>
      </c>
      <c r="K780" s="6" t="s">
        <v>9545</v>
      </c>
      <c r="L780" s="6" t="s">
        <v>9546</v>
      </c>
      <c r="M780" s="1" t="s">
        <v>5125</v>
      </c>
      <c r="N780" s="1" t="s">
        <v>9547</v>
      </c>
      <c r="O780" s="5">
        <v>44684.0</v>
      </c>
      <c r="R780" s="1" t="b">
        <v>0</v>
      </c>
      <c r="U780" s="1" t="b">
        <v>0</v>
      </c>
      <c r="V780" s="1" t="s">
        <v>9548</v>
      </c>
      <c r="W780" s="1" t="s">
        <v>9549</v>
      </c>
      <c r="X780" s="1">
        <v>200.0</v>
      </c>
      <c r="Y780" s="1" t="s">
        <v>5075</v>
      </c>
      <c r="AE780" s="6" t="s">
        <v>9550</v>
      </c>
      <c r="AG780" s="5">
        <v>44894.0</v>
      </c>
    </row>
    <row r="781">
      <c r="A781" s="1">
        <v>544869.0</v>
      </c>
      <c r="B781" s="1">
        <v>0.0</v>
      </c>
      <c r="C781" s="1" t="s">
        <v>9551</v>
      </c>
      <c r="D781" s="1" t="s">
        <v>5068</v>
      </c>
      <c r="F781" s="1" t="s">
        <v>9552</v>
      </c>
      <c r="G781" s="1" t="s">
        <v>26</v>
      </c>
      <c r="H781" s="1" t="s">
        <v>5419</v>
      </c>
      <c r="I781" s="1" t="s">
        <v>18</v>
      </c>
      <c r="J781" s="1" t="s">
        <v>21</v>
      </c>
      <c r="K781" s="6" t="s">
        <v>9553</v>
      </c>
      <c r="L781" s="6" t="s">
        <v>9554</v>
      </c>
      <c r="M781" s="1" t="s">
        <v>5125</v>
      </c>
      <c r="N781" s="1" t="s">
        <v>9555</v>
      </c>
      <c r="P781" s="5">
        <v>43160.0</v>
      </c>
      <c r="R781" s="1" t="b">
        <v>0</v>
      </c>
      <c r="U781" s="1" t="b">
        <v>0</v>
      </c>
      <c r="V781" s="1" t="s">
        <v>9556</v>
      </c>
      <c r="W781" s="1" t="s">
        <v>9557</v>
      </c>
      <c r="X781" s="1">
        <v>200.0</v>
      </c>
      <c r="Y781" s="1" t="s">
        <v>5075</v>
      </c>
      <c r="AE781" s="6" t="s">
        <v>9558</v>
      </c>
      <c r="AG781" s="5">
        <v>44894.0</v>
      </c>
    </row>
    <row r="782">
      <c r="A782" s="1">
        <v>544870.0</v>
      </c>
      <c r="B782" s="1">
        <v>0.0</v>
      </c>
      <c r="C782" s="1" t="s">
        <v>9559</v>
      </c>
      <c r="D782" s="1" t="s">
        <v>5068</v>
      </c>
      <c r="F782" s="1" t="s">
        <v>9560</v>
      </c>
      <c r="G782" s="1" t="s">
        <v>26</v>
      </c>
      <c r="H782" s="1" t="s">
        <v>5070</v>
      </c>
      <c r="I782" s="1" t="s">
        <v>18</v>
      </c>
      <c r="J782" s="1" t="s">
        <v>21</v>
      </c>
      <c r="K782" s="6" t="s">
        <v>9561</v>
      </c>
      <c r="L782" s="6" t="s">
        <v>9562</v>
      </c>
      <c r="M782" s="1" t="s">
        <v>5125</v>
      </c>
      <c r="N782" s="1" t="s">
        <v>9563</v>
      </c>
      <c r="O782" s="5">
        <v>40185.0</v>
      </c>
      <c r="P782" s="5">
        <v>41442.0</v>
      </c>
      <c r="R782" s="1" t="b">
        <v>0</v>
      </c>
      <c r="U782" s="1" t="b">
        <v>0</v>
      </c>
      <c r="V782" s="1" t="s">
        <v>9564</v>
      </c>
      <c r="W782" s="1" t="s">
        <v>9565</v>
      </c>
      <c r="X782" s="1">
        <v>200.0</v>
      </c>
      <c r="Y782" s="1" t="s">
        <v>5075</v>
      </c>
      <c r="AE782" s="6" t="s">
        <v>9566</v>
      </c>
      <c r="AG782" s="5">
        <v>44894.0</v>
      </c>
    </row>
    <row r="783">
      <c r="A783" s="1">
        <v>544871.0</v>
      </c>
      <c r="B783" s="1">
        <v>0.0</v>
      </c>
      <c r="C783" s="1" t="s">
        <v>9567</v>
      </c>
      <c r="D783" s="1" t="s">
        <v>5068</v>
      </c>
      <c r="F783" s="1" t="s">
        <v>9568</v>
      </c>
      <c r="G783" s="1" t="s">
        <v>26</v>
      </c>
      <c r="H783" s="1" t="s">
        <v>5419</v>
      </c>
      <c r="I783" s="1" t="s">
        <v>18</v>
      </c>
      <c r="J783" s="1" t="s">
        <v>14</v>
      </c>
      <c r="K783" s="6" t="s">
        <v>9569</v>
      </c>
      <c r="L783" s="6" t="s">
        <v>9570</v>
      </c>
      <c r="M783" s="1" t="s">
        <v>5125</v>
      </c>
      <c r="N783" s="1" t="s">
        <v>9571</v>
      </c>
      <c r="O783" s="5">
        <v>43191.0</v>
      </c>
      <c r="R783" s="1" t="b">
        <v>0</v>
      </c>
      <c r="U783" s="1" t="b">
        <v>0</v>
      </c>
      <c r="V783" s="1" t="s">
        <v>9572</v>
      </c>
      <c r="W783" s="1" t="s">
        <v>9573</v>
      </c>
      <c r="X783" s="1">
        <v>200.0</v>
      </c>
      <c r="Y783" s="1" t="s">
        <v>5075</v>
      </c>
      <c r="AE783" s="6" t="s">
        <v>9574</v>
      </c>
      <c r="AF783" s="6" t="s">
        <v>9575</v>
      </c>
      <c r="AG783" s="5">
        <v>44894.0</v>
      </c>
    </row>
    <row r="784">
      <c r="A784" s="1">
        <v>544872.0</v>
      </c>
      <c r="B784" s="1">
        <v>0.0</v>
      </c>
      <c r="C784" s="1" t="s">
        <v>9576</v>
      </c>
      <c r="D784" s="1" t="s">
        <v>5068</v>
      </c>
      <c r="F784" s="1" t="s">
        <v>9577</v>
      </c>
      <c r="G784" s="1" t="s">
        <v>26</v>
      </c>
      <c r="H784" s="1" t="s">
        <v>5419</v>
      </c>
      <c r="I784" s="1" t="s">
        <v>18</v>
      </c>
      <c r="J784" s="1" t="s">
        <v>14</v>
      </c>
      <c r="K784" s="6" t="s">
        <v>9578</v>
      </c>
      <c r="L784" s="6" t="s">
        <v>9579</v>
      </c>
      <c r="M784" s="1" t="s">
        <v>5125</v>
      </c>
      <c r="N784" s="1" t="s">
        <v>9580</v>
      </c>
      <c r="O784" s="5">
        <v>44013.0</v>
      </c>
      <c r="R784" s="1" t="b">
        <v>0</v>
      </c>
      <c r="U784" s="1" t="b">
        <v>0</v>
      </c>
      <c r="V784" s="1" t="s">
        <v>9572</v>
      </c>
      <c r="W784" s="1" t="s">
        <v>9581</v>
      </c>
      <c r="X784" s="1">
        <v>200.0</v>
      </c>
      <c r="Y784" s="1" t="s">
        <v>5075</v>
      </c>
      <c r="AE784" s="6" t="s">
        <v>9582</v>
      </c>
      <c r="AF784" s="6" t="s">
        <v>9575</v>
      </c>
      <c r="AG784" s="5">
        <v>44894.0</v>
      </c>
    </row>
    <row r="785">
      <c r="A785" s="1">
        <v>544873.0</v>
      </c>
      <c r="B785" s="1">
        <v>0.0</v>
      </c>
      <c r="C785" s="1" t="s">
        <v>9583</v>
      </c>
      <c r="D785" s="1" t="s">
        <v>5068</v>
      </c>
      <c r="F785" s="1" t="s">
        <v>9584</v>
      </c>
      <c r="G785" s="1" t="s">
        <v>26</v>
      </c>
      <c r="H785" s="1" t="s">
        <v>5419</v>
      </c>
      <c r="I785" s="1" t="s">
        <v>18</v>
      </c>
      <c r="J785" s="1" t="s">
        <v>14</v>
      </c>
      <c r="K785" s="6" t="s">
        <v>9585</v>
      </c>
      <c r="L785" s="6" t="s">
        <v>9586</v>
      </c>
      <c r="M785" s="1" t="s">
        <v>5125</v>
      </c>
      <c r="N785" s="1" t="s">
        <v>9587</v>
      </c>
      <c r="O785" s="5">
        <v>42309.0</v>
      </c>
      <c r="R785" s="1" t="b">
        <v>0</v>
      </c>
      <c r="U785" s="1" t="b">
        <v>0</v>
      </c>
      <c r="V785" s="1" t="s">
        <v>9588</v>
      </c>
      <c r="W785" s="1" t="s">
        <v>9589</v>
      </c>
      <c r="X785" s="1">
        <v>200.0</v>
      </c>
      <c r="Y785" s="1" t="s">
        <v>5075</v>
      </c>
      <c r="AE785" s="6" t="s">
        <v>9590</v>
      </c>
      <c r="AF785" s="6" t="s">
        <v>9575</v>
      </c>
      <c r="AG785" s="5">
        <v>44894.0</v>
      </c>
    </row>
    <row r="786">
      <c r="A786" s="1">
        <v>544874.0</v>
      </c>
      <c r="B786" s="1">
        <v>0.0</v>
      </c>
      <c r="C786" s="1" t="s">
        <v>9591</v>
      </c>
      <c r="D786" s="1" t="s">
        <v>5068</v>
      </c>
      <c r="F786" s="1" t="s">
        <v>9592</v>
      </c>
      <c r="G786" s="1" t="s">
        <v>26</v>
      </c>
      <c r="H786" s="1" t="s">
        <v>5419</v>
      </c>
      <c r="I786" s="1" t="s">
        <v>18</v>
      </c>
      <c r="J786" s="1" t="s">
        <v>14</v>
      </c>
      <c r="K786" s="6" t="s">
        <v>9593</v>
      </c>
      <c r="L786" s="6" t="s">
        <v>9594</v>
      </c>
      <c r="M786" s="1" t="s">
        <v>5125</v>
      </c>
      <c r="N786" s="1" t="s">
        <v>9595</v>
      </c>
      <c r="O786" s="5">
        <v>43952.0</v>
      </c>
      <c r="R786" s="1" t="b">
        <v>0</v>
      </c>
      <c r="U786" s="1" t="b">
        <v>0</v>
      </c>
      <c r="V786" s="1" t="s">
        <v>9596</v>
      </c>
      <c r="W786" s="1" t="s">
        <v>9597</v>
      </c>
      <c r="X786" s="1">
        <v>200.0</v>
      </c>
      <c r="Y786" s="1" t="s">
        <v>5075</v>
      </c>
      <c r="AE786" s="6" t="s">
        <v>9598</v>
      </c>
      <c r="AF786" s="6" t="s">
        <v>9575</v>
      </c>
      <c r="AG786" s="5">
        <v>44894.0</v>
      </c>
    </row>
    <row r="787">
      <c r="A787" s="1">
        <v>544875.0</v>
      </c>
      <c r="B787" s="1">
        <v>0.0</v>
      </c>
      <c r="C787" s="1" t="s">
        <v>9599</v>
      </c>
      <c r="D787" s="1" t="s">
        <v>5068</v>
      </c>
      <c r="F787" s="1" t="s">
        <v>9600</v>
      </c>
      <c r="G787" s="1" t="s">
        <v>26</v>
      </c>
      <c r="H787" s="1" t="s">
        <v>5419</v>
      </c>
      <c r="I787" s="1" t="s">
        <v>18</v>
      </c>
      <c r="J787" s="1" t="s">
        <v>14</v>
      </c>
      <c r="K787" s="6" t="s">
        <v>9601</v>
      </c>
      <c r="L787" s="6" t="s">
        <v>9602</v>
      </c>
      <c r="M787" s="1" t="s">
        <v>5125</v>
      </c>
      <c r="N787" s="1" t="s">
        <v>9603</v>
      </c>
      <c r="O787" s="5">
        <v>43586.0</v>
      </c>
      <c r="R787" s="1" t="b">
        <v>0</v>
      </c>
      <c r="U787" s="1" t="b">
        <v>0</v>
      </c>
      <c r="V787" s="1" t="s">
        <v>9604</v>
      </c>
      <c r="W787" s="1" t="s">
        <v>9605</v>
      </c>
      <c r="X787" s="1">
        <v>200.0</v>
      </c>
      <c r="Y787" s="1" t="s">
        <v>5075</v>
      </c>
      <c r="AE787" s="6" t="s">
        <v>9606</v>
      </c>
      <c r="AF787" s="6" t="s">
        <v>9575</v>
      </c>
      <c r="AG787" s="5">
        <v>44894.0</v>
      </c>
    </row>
    <row r="788">
      <c r="A788" s="1">
        <v>544876.0</v>
      </c>
      <c r="B788" s="1">
        <v>0.0</v>
      </c>
      <c r="C788" s="1" t="s">
        <v>19</v>
      </c>
      <c r="D788" s="1" t="s">
        <v>5068</v>
      </c>
      <c r="F788" s="1" t="s">
        <v>20</v>
      </c>
      <c r="G788" s="1" t="s">
        <v>26</v>
      </c>
      <c r="H788" s="1" t="s">
        <v>5419</v>
      </c>
      <c r="I788" s="1" t="s">
        <v>18</v>
      </c>
      <c r="J788" s="1" t="s">
        <v>14</v>
      </c>
      <c r="K788" s="6" t="s">
        <v>9607</v>
      </c>
      <c r="L788" s="6" t="s">
        <v>9608</v>
      </c>
      <c r="M788" s="1" t="s">
        <v>5125</v>
      </c>
      <c r="N788" s="1" t="s">
        <v>9609</v>
      </c>
      <c r="O788" s="5">
        <v>44743.0</v>
      </c>
      <c r="R788" s="1" t="b">
        <v>0</v>
      </c>
      <c r="U788" s="1" t="b">
        <v>0</v>
      </c>
      <c r="V788" s="1" t="s">
        <v>9604</v>
      </c>
      <c r="W788" s="1" t="s">
        <v>9610</v>
      </c>
      <c r="X788" s="1">
        <v>200.0</v>
      </c>
      <c r="Y788" s="1" t="s">
        <v>5075</v>
      </c>
      <c r="AE788" s="6" t="s">
        <v>9611</v>
      </c>
      <c r="AF788" s="6" t="s">
        <v>9575</v>
      </c>
      <c r="AG788" s="5">
        <v>44894.0</v>
      </c>
    </row>
    <row r="789">
      <c r="A789" s="1">
        <v>544877.0</v>
      </c>
      <c r="B789" s="1">
        <v>0.0</v>
      </c>
      <c r="C789" s="1" t="s">
        <v>16</v>
      </c>
      <c r="D789" s="1" t="s">
        <v>5068</v>
      </c>
      <c r="F789" s="1" t="s">
        <v>17</v>
      </c>
      <c r="G789" s="1" t="s">
        <v>26</v>
      </c>
      <c r="H789" s="1" t="s">
        <v>5419</v>
      </c>
      <c r="I789" s="1" t="s">
        <v>18</v>
      </c>
      <c r="J789" s="1" t="s">
        <v>14</v>
      </c>
      <c r="K789" s="6" t="s">
        <v>9612</v>
      </c>
      <c r="L789" s="6" t="s">
        <v>9613</v>
      </c>
      <c r="M789" s="1" t="s">
        <v>5125</v>
      </c>
      <c r="N789" s="1" t="s">
        <v>9614</v>
      </c>
      <c r="O789" s="5">
        <v>44774.0</v>
      </c>
      <c r="R789" s="1" t="b">
        <v>0</v>
      </c>
      <c r="U789" s="1" t="b">
        <v>0</v>
      </c>
      <c r="V789" s="1" t="s">
        <v>9615</v>
      </c>
      <c r="W789" s="1" t="s">
        <v>9616</v>
      </c>
      <c r="X789" s="1">
        <v>200.0</v>
      </c>
      <c r="Y789" s="1" t="s">
        <v>5075</v>
      </c>
      <c r="AE789" s="6" t="s">
        <v>9617</v>
      </c>
      <c r="AF789" s="6" t="s">
        <v>9575</v>
      </c>
      <c r="AG789" s="5">
        <v>44894.0</v>
      </c>
    </row>
    <row r="790">
      <c r="A790" s="1">
        <v>544878.0</v>
      </c>
      <c r="B790" s="1">
        <v>0.0</v>
      </c>
      <c r="C790" s="1" t="s">
        <v>9618</v>
      </c>
      <c r="D790" s="1" t="s">
        <v>5068</v>
      </c>
      <c r="F790" s="1" t="s">
        <v>9619</v>
      </c>
      <c r="G790" s="1" t="s">
        <v>26</v>
      </c>
      <c r="H790" s="1" t="s">
        <v>5419</v>
      </c>
      <c r="I790" s="1" t="s">
        <v>18</v>
      </c>
      <c r="J790" s="1" t="s">
        <v>14</v>
      </c>
      <c r="K790" s="6" t="s">
        <v>9620</v>
      </c>
      <c r="L790" s="6" t="s">
        <v>9621</v>
      </c>
      <c r="M790" s="1" t="s">
        <v>5125</v>
      </c>
      <c r="N790" s="1" t="s">
        <v>9622</v>
      </c>
      <c r="O790" s="5">
        <v>43293.0</v>
      </c>
      <c r="R790" s="1" t="b">
        <v>0</v>
      </c>
      <c r="U790" s="1" t="b">
        <v>0</v>
      </c>
      <c r="V790" s="1" t="s">
        <v>9623</v>
      </c>
      <c r="W790" s="1" t="s">
        <v>9624</v>
      </c>
      <c r="X790" s="1">
        <v>200.0</v>
      </c>
      <c r="Y790" s="1" t="s">
        <v>5075</v>
      </c>
      <c r="AE790" s="6" t="s">
        <v>9625</v>
      </c>
      <c r="AF790" s="6" t="s">
        <v>9575</v>
      </c>
      <c r="AG790" s="5">
        <v>44894.0</v>
      </c>
    </row>
    <row r="791">
      <c r="A791" s="1">
        <v>544892.0</v>
      </c>
      <c r="B791" s="1">
        <v>0.0</v>
      </c>
      <c r="C791" s="1" t="s">
        <v>9626</v>
      </c>
      <c r="D791" s="1" t="s">
        <v>5068</v>
      </c>
      <c r="F791" s="1" t="s">
        <v>9627</v>
      </c>
      <c r="G791" s="1" t="s">
        <v>26</v>
      </c>
      <c r="H791" s="1" t="s">
        <v>5070</v>
      </c>
      <c r="I791" s="1" t="s">
        <v>18</v>
      </c>
      <c r="J791" s="1" t="s">
        <v>5071</v>
      </c>
      <c r="K791" s="6" t="s">
        <v>9628</v>
      </c>
      <c r="L791" s="6" t="s">
        <v>9629</v>
      </c>
      <c r="M791" s="1" t="s">
        <v>5125</v>
      </c>
      <c r="N791" s="1" t="s">
        <v>9630</v>
      </c>
      <c r="R791" s="1" t="b">
        <v>0</v>
      </c>
      <c r="U791" s="1" t="b">
        <v>0</v>
      </c>
      <c r="V791" s="1" t="s">
        <v>9631</v>
      </c>
      <c r="W791" s="1" t="s">
        <v>9632</v>
      </c>
      <c r="X791" s="1">
        <v>200.0</v>
      </c>
      <c r="Y791" s="1" t="s">
        <v>5075</v>
      </c>
      <c r="AE791" s="6" t="s">
        <v>9633</v>
      </c>
      <c r="AF791" s="6" t="s">
        <v>9634</v>
      </c>
      <c r="AG791" s="5">
        <v>44894.0</v>
      </c>
    </row>
    <row r="792">
      <c r="A792" s="1">
        <v>544893.0</v>
      </c>
      <c r="B792" s="1">
        <v>0.0</v>
      </c>
      <c r="C792" s="1" t="s">
        <v>9635</v>
      </c>
      <c r="D792" s="1" t="s">
        <v>5081</v>
      </c>
      <c r="F792" s="1" t="s">
        <v>9636</v>
      </c>
      <c r="G792" s="1" t="s">
        <v>26</v>
      </c>
      <c r="H792" s="1" t="s">
        <v>5070</v>
      </c>
      <c r="I792" s="1" t="s">
        <v>18</v>
      </c>
      <c r="J792" s="1" t="s">
        <v>5071</v>
      </c>
      <c r="K792" s="6" t="s">
        <v>9637</v>
      </c>
      <c r="L792" s="6" t="s">
        <v>9638</v>
      </c>
      <c r="M792" s="1" t="s">
        <v>5125</v>
      </c>
      <c r="R792" s="1" t="b">
        <v>0</v>
      </c>
      <c r="U792" s="1" t="b">
        <v>0</v>
      </c>
      <c r="V792" s="1" t="s">
        <v>9631</v>
      </c>
      <c r="W792" s="1" t="s">
        <v>9632</v>
      </c>
      <c r="X792" s="1">
        <v>200.0</v>
      </c>
      <c r="AA792" s="1" t="s">
        <v>9627</v>
      </c>
      <c r="AE792" s="6" t="s">
        <v>9639</v>
      </c>
      <c r="AF792" s="6" t="s">
        <v>9640</v>
      </c>
      <c r="AG792" s="5">
        <v>44894.0</v>
      </c>
    </row>
    <row r="793">
      <c r="A793" s="1">
        <v>544894.0</v>
      </c>
      <c r="B793" s="1">
        <v>0.0</v>
      </c>
      <c r="C793" s="1" t="s">
        <v>9641</v>
      </c>
      <c r="D793" s="1" t="s">
        <v>5068</v>
      </c>
      <c r="F793" s="1" t="s">
        <v>9642</v>
      </c>
      <c r="G793" s="1" t="s">
        <v>26</v>
      </c>
      <c r="H793" s="1" t="s">
        <v>5070</v>
      </c>
      <c r="I793" s="1" t="s">
        <v>18</v>
      </c>
      <c r="J793" s="1" t="s">
        <v>5071</v>
      </c>
      <c r="K793" s="6" t="s">
        <v>9643</v>
      </c>
      <c r="L793" s="6" t="s">
        <v>9644</v>
      </c>
      <c r="M793" s="1" t="s">
        <v>5125</v>
      </c>
      <c r="N793" s="1" t="s">
        <v>9645</v>
      </c>
      <c r="O793" s="5">
        <v>44420.0</v>
      </c>
      <c r="R793" s="1" t="b">
        <v>0</v>
      </c>
      <c r="U793" s="1" t="b">
        <v>0</v>
      </c>
      <c r="V793" s="1" t="s">
        <v>9646</v>
      </c>
      <c r="W793" s="1" t="s">
        <v>9647</v>
      </c>
      <c r="X793" s="1">
        <v>200.0</v>
      </c>
      <c r="Y793" s="1" t="s">
        <v>5075</v>
      </c>
      <c r="AE793" s="6" t="s">
        <v>9648</v>
      </c>
      <c r="AG793" s="5">
        <v>44894.0</v>
      </c>
    </row>
    <row r="794">
      <c r="A794" s="1">
        <v>544895.0</v>
      </c>
      <c r="B794" s="1">
        <v>0.0</v>
      </c>
      <c r="C794" s="1" t="s">
        <v>9649</v>
      </c>
      <c r="D794" s="1" t="s">
        <v>5081</v>
      </c>
      <c r="F794" s="6" t="s">
        <v>9650</v>
      </c>
      <c r="G794" s="1" t="s">
        <v>26</v>
      </c>
      <c r="H794" s="1" t="s">
        <v>5070</v>
      </c>
      <c r="I794" s="1" t="s">
        <v>18</v>
      </c>
      <c r="J794" s="1" t="s">
        <v>5071</v>
      </c>
      <c r="K794" s="6" t="s">
        <v>9651</v>
      </c>
      <c r="L794" s="6" t="s">
        <v>9652</v>
      </c>
      <c r="M794" s="1" t="s">
        <v>5125</v>
      </c>
      <c r="O794" s="5">
        <v>44420.0</v>
      </c>
      <c r="R794" s="1" t="b">
        <v>0</v>
      </c>
      <c r="U794" s="1" t="b">
        <v>0</v>
      </c>
      <c r="V794" s="1" t="s">
        <v>9646</v>
      </c>
      <c r="W794" s="1" t="s">
        <v>9647</v>
      </c>
      <c r="X794" s="1">
        <v>200.0</v>
      </c>
      <c r="AA794" s="1" t="s">
        <v>9642</v>
      </c>
      <c r="AE794" s="6" t="s">
        <v>9653</v>
      </c>
      <c r="AG794" s="5">
        <v>44894.0</v>
      </c>
    </row>
    <row r="795">
      <c r="A795" s="1">
        <v>545722.0</v>
      </c>
      <c r="B795" s="1">
        <v>0.0</v>
      </c>
      <c r="C795" s="1" t="s">
        <v>9654</v>
      </c>
      <c r="D795" s="1" t="s">
        <v>5068</v>
      </c>
      <c r="F795" s="1" t="s">
        <v>9655</v>
      </c>
      <c r="G795" s="1" t="s">
        <v>5122</v>
      </c>
      <c r="H795" s="1" t="s">
        <v>5102</v>
      </c>
      <c r="I795" s="1" t="s">
        <v>18</v>
      </c>
      <c r="J795" s="1" t="s">
        <v>5071</v>
      </c>
      <c r="K795" s="6" t="s">
        <v>9656</v>
      </c>
      <c r="L795" s="6" t="s">
        <v>9657</v>
      </c>
      <c r="M795" s="1" t="s">
        <v>5125</v>
      </c>
      <c r="R795" s="1" t="b">
        <v>0</v>
      </c>
      <c r="T795" s="1">
        <v>450871.0</v>
      </c>
      <c r="U795" s="1" t="b">
        <v>0</v>
      </c>
      <c r="V795" s="1" t="s">
        <v>9274</v>
      </c>
      <c r="X795" s="1">
        <v>200.0</v>
      </c>
      <c r="Z795" s="1" t="s">
        <v>9658</v>
      </c>
      <c r="AE795" s="6" t="s">
        <v>9659</v>
      </c>
      <c r="AG795" s="5">
        <v>44895.0</v>
      </c>
    </row>
    <row r="796">
      <c r="A796" s="1">
        <v>545723.0</v>
      </c>
      <c r="B796" s="1">
        <v>0.0</v>
      </c>
      <c r="C796" s="1" t="s">
        <v>9660</v>
      </c>
      <c r="D796" s="1" t="s">
        <v>5081</v>
      </c>
      <c r="F796" s="1" t="s">
        <v>9661</v>
      </c>
      <c r="G796" s="1" t="s">
        <v>5122</v>
      </c>
      <c r="H796" s="1" t="s">
        <v>5102</v>
      </c>
      <c r="I796" s="1" t="s">
        <v>18</v>
      </c>
      <c r="J796" s="1" t="s">
        <v>5071</v>
      </c>
      <c r="K796" s="6" t="s">
        <v>9662</v>
      </c>
      <c r="L796" s="6" t="s">
        <v>9663</v>
      </c>
      <c r="M796" s="1" t="s">
        <v>5125</v>
      </c>
      <c r="R796" s="1" t="b">
        <v>0</v>
      </c>
      <c r="T796" s="1">
        <v>450871.0</v>
      </c>
      <c r="U796" s="1" t="b">
        <v>0</v>
      </c>
      <c r="V796" s="1" t="s">
        <v>9274</v>
      </c>
      <c r="X796" s="1">
        <v>200.0</v>
      </c>
      <c r="Z796" s="1" t="s">
        <v>9658</v>
      </c>
      <c r="AA796" s="1" t="s">
        <v>9655</v>
      </c>
      <c r="AE796" s="6" t="s">
        <v>9664</v>
      </c>
      <c r="AG796" s="5">
        <v>44895.0</v>
      </c>
    </row>
    <row r="797">
      <c r="A797" s="1">
        <v>545738.0</v>
      </c>
      <c r="B797" s="1">
        <v>0.0</v>
      </c>
      <c r="C797" s="1" t="s">
        <v>9665</v>
      </c>
      <c r="D797" s="1" t="s">
        <v>5068</v>
      </c>
      <c r="F797" s="1" t="s">
        <v>9666</v>
      </c>
      <c r="G797" s="1" t="s">
        <v>26</v>
      </c>
      <c r="H797" s="1" t="s">
        <v>5102</v>
      </c>
      <c r="I797" s="1" t="s">
        <v>18</v>
      </c>
      <c r="J797" s="1" t="s">
        <v>5071</v>
      </c>
      <c r="K797" s="6" t="s">
        <v>9667</v>
      </c>
      <c r="L797" s="6" t="s">
        <v>9668</v>
      </c>
      <c r="M797" s="1" t="s">
        <v>5125</v>
      </c>
      <c r="R797" s="1" t="b">
        <v>0</v>
      </c>
      <c r="T797" s="1">
        <v>4130.0</v>
      </c>
      <c r="U797" s="1" t="b">
        <v>0</v>
      </c>
      <c r="V797" s="1" t="s">
        <v>8614</v>
      </c>
      <c r="W797" s="1" t="s">
        <v>9669</v>
      </c>
      <c r="X797" s="1">
        <v>200.0</v>
      </c>
      <c r="Z797" s="1" t="s">
        <v>435</v>
      </c>
      <c r="AE797" s="6" t="s">
        <v>9670</v>
      </c>
      <c r="AG797" s="5">
        <v>44895.0</v>
      </c>
    </row>
    <row r="798">
      <c r="A798" s="1">
        <v>545739.0</v>
      </c>
      <c r="B798" s="1">
        <v>0.0</v>
      </c>
      <c r="C798" s="1" t="s">
        <v>9671</v>
      </c>
      <c r="D798" s="1" t="s">
        <v>5081</v>
      </c>
      <c r="F798" s="1" t="s">
        <v>9672</v>
      </c>
      <c r="G798" s="1" t="s">
        <v>26</v>
      </c>
      <c r="H798" s="1" t="s">
        <v>5102</v>
      </c>
      <c r="I798" s="1" t="s">
        <v>18</v>
      </c>
      <c r="J798" s="1" t="s">
        <v>5071</v>
      </c>
      <c r="K798" s="6" t="s">
        <v>9673</v>
      </c>
      <c r="L798" s="6" t="s">
        <v>9674</v>
      </c>
      <c r="M798" s="1" t="s">
        <v>5125</v>
      </c>
      <c r="R798" s="1" t="b">
        <v>0</v>
      </c>
      <c r="T798" s="1">
        <v>4130.0</v>
      </c>
      <c r="U798" s="1" t="b">
        <v>0</v>
      </c>
      <c r="V798" s="1" t="s">
        <v>8614</v>
      </c>
      <c r="W798" s="1" t="s">
        <v>9669</v>
      </c>
      <c r="X798" s="1">
        <v>200.0</v>
      </c>
      <c r="Z798" s="1" t="s">
        <v>435</v>
      </c>
      <c r="AA798" s="1" t="s">
        <v>9666</v>
      </c>
      <c r="AE798" s="6" t="s">
        <v>9675</v>
      </c>
      <c r="AG798" s="5">
        <v>44895.0</v>
      </c>
    </row>
    <row r="799">
      <c r="A799" s="1">
        <v>545740.0</v>
      </c>
      <c r="B799" s="1">
        <v>0.0</v>
      </c>
      <c r="C799" s="1" t="s">
        <v>9676</v>
      </c>
      <c r="D799" s="1" t="s">
        <v>5068</v>
      </c>
      <c r="F799" s="1" t="s">
        <v>9677</v>
      </c>
      <c r="G799" s="1" t="s">
        <v>26</v>
      </c>
      <c r="H799" s="1" t="s">
        <v>5102</v>
      </c>
      <c r="I799" s="1" t="s">
        <v>18</v>
      </c>
      <c r="J799" s="1" t="s">
        <v>5071</v>
      </c>
      <c r="K799" s="6" t="s">
        <v>9678</v>
      </c>
      <c r="L799" s="6" t="s">
        <v>9679</v>
      </c>
      <c r="M799" s="1" t="s">
        <v>5125</v>
      </c>
      <c r="R799" s="1" t="b">
        <v>0</v>
      </c>
      <c r="T799" s="1">
        <v>4272.0</v>
      </c>
      <c r="U799" s="1" t="b">
        <v>0</v>
      </c>
      <c r="V799" s="1" t="s">
        <v>9680</v>
      </c>
      <c r="W799" s="1" t="s">
        <v>9681</v>
      </c>
      <c r="X799" s="1">
        <v>200.0</v>
      </c>
      <c r="Z799" s="1" t="s">
        <v>445</v>
      </c>
      <c r="AE799" s="6" t="s">
        <v>9682</v>
      </c>
      <c r="AG799" s="5">
        <v>44895.0</v>
      </c>
    </row>
    <row r="800">
      <c r="A800" s="1">
        <v>545741.0</v>
      </c>
      <c r="B800" s="1">
        <v>0.0</v>
      </c>
      <c r="C800" s="1" t="s">
        <v>9683</v>
      </c>
      <c r="D800" s="1" t="s">
        <v>5081</v>
      </c>
      <c r="F800" s="1" t="s">
        <v>9684</v>
      </c>
      <c r="G800" s="1" t="s">
        <v>26</v>
      </c>
      <c r="H800" s="1" t="s">
        <v>5102</v>
      </c>
      <c r="I800" s="1" t="s">
        <v>18</v>
      </c>
      <c r="J800" s="1" t="s">
        <v>5071</v>
      </c>
      <c r="K800" s="6" t="s">
        <v>9685</v>
      </c>
      <c r="L800" s="6" t="s">
        <v>9686</v>
      </c>
      <c r="M800" s="1" t="s">
        <v>5125</v>
      </c>
      <c r="R800" s="1" t="b">
        <v>0</v>
      </c>
      <c r="T800" s="1">
        <v>4272.0</v>
      </c>
      <c r="U800" s="1" t="b">
        <v>0</v>
      </c>
      <c r="V800" s="1" t="s">
        <v>9680</v>
      </c>
      <c r="W800" s="1" t="s">
        <v>9681</v>
      </c>
      <c r="X800" s="1">
        <v>200.0</v>
      </c>
      <c r="Z800" s="1" t="s">
        <v>445</v>
      </c>
      <c r="AA800" s="1" t="s">
        <v>9677</v>
      </c>
      <c r="AE800" s="6" t="s">
        <v>9687</v>
      </c>
      <c r="AG800" s="5">
        <v>44895.0</v>
      </c>
    </row>
    <row r="801">
      <c r="A801" s="1">
        <v>545742.0</v>
      </c>
      <c r="B801" s="1">
        <v>0.0</v>
      </c>
      <c r="C801" s="1" t="s">
        <v>9144</v>
      </c>
      <c r="D801" s="1" t="s">
        <v>5068</v>
      </c>
      <c r="F801" s="1" t="s">
        <v>9688</v>
      </c>
      <c r="G801" s="1" t="s">
        <v>26</v>
      </c>
      <c r="H801" s="1" t="s">
        <v>5102</v>
      </c>
      <c r="I801" s="1" t="s">
        <v>18</v>
      </c>
      <c r="J801" s="1" t="s">
        <v>5071</v>
      </c>
      <c r="K801" s="6" t="s">
        <v>9689</v>
      </c>
      <c r="L801" s="6" t="s">
        <v>9690</v>
      </c>
      <c r="M801" s="1" t="s">
        <v>5125</v>
      </c>
      <c r="R801" s="1" t="b">
        <v>0</v>
      </c>
      <c r="T801" s="1">
        <v>197915.0</v>
      </c>
      <c r="U801" s="1" t="b">
        <v>0</v>
      </c>
      <c r="V801" s="1" t="s">
        <v>9680</v>
      </c>
      <c r="W801" s="1" t="s">
        <v>9681</v>
      </c>
      <c r="X801" s="1">
        <v>200.0</v>
      </c>
      <c r="Z801" s="1" t="s">
        <v>440</v>
      </c>
      <c r="AE801" s="6" t="s">
        <v>9691</v>
      </c>
      <c r="AG801" s="5">
        <v>44895.0</v>
      </c>
    </row>
    <row r="802">
      <c r="A802" s="1">
        <v>545743.0</v>
      </c>
      <c r="B802" s="1">
        <v>0.0</v>
      </c>
      <c r="C802" s="1" t="s">
        <v>9692</v>
      </c>
      <c r="D802" s="1" t="s">
        <v>5081</v>
      </c>
      <c r="F802" s="1" t="s">
        <v>9693</v>
      </c>
      <c r="G802" s="1" t="s">
        <v>26</v>
      </c>
      <c r="H802" s="1" t="s">
        <v>5102</v>
      </c>
      <c r="I802" s="1" t="s">
        <v>18</v>
      </c>
      <c r="J802" s="1" t="s">
        <v>5071</v>
      </c>
      <c r="K802" s="6" t="s">
        <v>9694</v>
      </c>
      <c r="L802" s="6" t="s">
        <v>9695</v>
      </c>
      <c r="M802" s="1" t="s">
        <v>5125</v>
      </c>
      <c r="R802" s="1" t="b">
        <v>0</v>
      </c>
      <c r="T802" s="1">
        <v>197915.0</v>
      </c>
      <c r="U802" s="1" t="b">
        <v>0</v>
      </c>
      <c r="V802" s="1" t="s">
        <v>9680</v>
      </c>
      <c r="W802" s="1" t="s">
        <v>9681</v>
      </c>
      <c r="X802" s="1">
        <v>200.0</v>
      </c>
      <c r="Z802" s="1" t="s">
        <v>440</v>
      </c>
      <c r="AA802" s="1" t="s">
        <v>9688</v>
      </c>
      <c r="AE802" s="6" t="s">
        <v>9696</v>
      </c>
      <c r="AG802" s="5">
        <v>44895.0</v>
      </c>
    </row>
    <row r="803">
      <c r="A803" s="1">
        <v>545744.0</v>
      </c>
      <c r="B803" s="1">
        <v>0.0</v>
      </c>
      <c r="C803" s="1" t="s">
        <v>9697</v>
      </c>
      <c r="D803" s="1" t="s">
        <v>5068</v>
      </c>
      <c r="F803" s="1" t="s">
        <v>9698</v>
      </c>
      <c r="G803" s="1" t="s">
        <v>26</v>
      </c>
      <c r="H803" s="1" t="s">
        <v>5102</v>
      </c>
      <c r="I803" s="1" t="s">
        <v>18</v>
      </c>
      <c r="J803" s="1" t="s">
        <v>5071</v>
      </c>
      <c r="K803" s="6" t="s">
        <v>9699</v>
      </c>
      <c r="L803" s="6" t="s">
        <v>9700</v>
      </c>
      <c r="M803" s="1" t="s">
        <v>5125</v>
      </c>
      <c r="R803" s="1" t="b">
        <v>0</v>
      </c>
      <c r="T803" s="1">
        <v>197915.0</v>
      </c>
      <c r="U803" s="1" t="b">
        <v>0</v>
      </c>
      <c r="V803" s="1" t="s">
        <v>9701</v>
      </c>
      <c r="W803" s="1" t="s">
        <v>9702</v>
      </c>
      <c r="X803" s="1">
        <v>200.0</v>
      </c>
      <c r="Z803" s="1" t="s">
        <v>440</v>
      </c>
      <c r="AE803" s="6" t="s">
        <v>9703</v>
      </c>
      <c r="AG803" s="5">
        <v>44895.0</v>
      </c>
    </row>
    <row r="804">
      <c r="A804" s="1">
        <v>545745.0</v>
      </c>
      <c r="B804" s="1">
        <v>0.0</v>
      </c>
      <c r="C804" s="1" t="s">
        <v>9704</v>
      </c>
      <c r="D804" s="1" t="s">
        <v>5081</v>
      </c>
      <c r="F804" s="1" t="s">
        <v>9705</v>
      </c>
      <c r="G804" s="1" t="s">
        <v>26</v>
      </c>
      <c r="H804" s="1" t="s">
        <v>5102</v>
      </c>
      <c r="I804" s="1" t="s">
        <v>18</v>
      </c>
      <c r="J804" s="1" t="s">
        <v>5071</v>
      </c>
      <c r="K804" s="6" t="s">
        <v>9706</v>
      </c>
      <c r="L804" s="6" t="s">
        <v>9707</v>
      </c>
      <c r="M804" s="1" t="s">
        <v>5125</v>
      </c>
      <c r="R804" s="1" t="b">
        <v>0</v>
      </c>
      <c r="T804" s="1">
        <v>197915.0</v>
      </c>
      <c r="U804" s="1" t="b">
        <v>0</v>
      </c>
      <c r="V804" s="1" t="s">
        <v>9701</v>
      </c>
      <c r="W804" s="1" t="s">
        <v>9702</v>
      </c>
      <c r="X804" s="1">
        <v>200.0</v>
      </c>
      <c r="Z804" s="1" t="s">
        <v>440</v>
      </c>
      <c r="AA804" s="1" t="s">
        <v>9698</v>
      </c>
      <c r="AE804" s="6" t="s">
        <v>9708</v>
      </c>
      <c r="AG804" s="5">
        <v>44895.0</v>
      </c>
    </row>
    <row r="805">
      <c r="A805" s="1">
        <v>545748.0</v>
      </c>
      <c r="B805" s="1">
        <v>0.0</v>
      </c>
      <c r="C805" s="1" t="s">
        <v>9709</v>
      </c>
      <c r="D805" s="1" t="s">
        <v>5068</v>
      </c>
      <c r="F805" s="1" t="s">
        <v>9710</v>
      </c>
      <c r="G805" s="1" t="s">
        <v>26</v>
      </c>
      <c r="H805" s="1" t="s">
        <v>5102</v>
      </c>
      <c r="I805" s="1" t="s">
        <v>18</v>
      </c>
      <c r="J805" s="1" t="s">
        <v>5071</v>
      </c>
      <c r="K805" s="6" t="s">
        <v>9711</v>
      </c>
      <c r="L805" s="6" t="s">
        <v>9712</v>
      </c>
      <c r="M805" s="1" t="s">
        <v>5125</v>
      </c>
      <c r="R805" s="1" t="b">
        <v>0</v>
      </c>
      <c r="T805" s="1">
        <v>197915.0</v>
      </c>
      <c r="U805" s="1" t="b">
        <v>0</v>
      </c>
      <c r="V805" s="1" t="s">
        <v>9713</v>
      </c>
      <c r="W805" s="1" t="s">
        <v>9714</v>
      </c>
      <c r="X805" s="1">
        <v>200.0</v>
      </c>
      <c r="Z805" s="1" t="s">
        <v>440</v>
      </c>
      <c r="AE805" s="6" t="s">
        <v>9715</v>
      </c>
      <c r="AG805" s="5">
        <v>44895.0</v>
      </c>
    </row>
    <row r="806">
      <c r="A806" s="1">
        <v>545749.0</v>
      </c>
      <c r="B806" s="1">
        <v>0.0</v>
      </c>
      <c r="C806" s="1" t="s">
        <v>9716</v>
      </c>
      <c r="D806" s="1" t="s">
        <v>5081</v>
      </c>
      <c r="F806" s="1" t="s">
        <v>9717</v>
      </c>
      <c r="G806" s="1" t="s">
        <v>26</v>
      </c>
      <c r="H806" s="1" t="s">
        <v>5102</v>
      </c>
      <c r="I806" s="1" t="s">
        <v>18</v>
      </c>
      <c r="J806" s="1" t="s">
        <v>5071</v>
      </c>
      <c r="K806" s="6" t="s">
        <v>9718</v>
      </c>
      <c r="L806" s="6" t="s">
        <v>9719</v>
      </c>
      <c r="M806" s="1" t="s">
        <v>5125</v>
      </c>
      <c r="R806" s="1" t="b">
        <v>0</v>
      </c>
      <c r="T806" s="1">
        <v>197915.0</v>
      </c>
      <c r="U806" s="1" t="b">
        <v>0</v>
      </c>
      <c r="V806" s="1" t="s">
        <v>9713</v>
      </c>
      <c r="W806" s="1" t="s">
        <v>9714</v>
      </c>
      <c r="X806" s="1">
        <v>200.0</v>
      </c>
      <c r="Z806" s="1" t="s">
        <v>440</v>
      </c>
      <c r="AA806" s="1" t="s">
        <v>9710</v>
      </c>
      <c r="AE806" s="6" t="s">
        <v>9720</v>
      </c>
      <c r="AG806" s="5">
        <v>44895.0</v>
      </c>
    </row>
    <row r="807">
      <c r="A807" s="1">
        <v>545750.0</v>
      </c>
      <c r="B807" s="1">
        <v>0.0</v>
      </c>
      <c r="C807" s="1" t="s">
        <v>9721</v>
      </c>
      <c r="D807" s="1" t="s">
        <v>5068</v>
      </c>
      <c r="F807" s="1" t="s">
        <v>9722</v>
      </c>
      <c r="G807" s="1" t="s">
        <v>5368</v>
      </c>
      <c r="H807" s="1" t="s">
        <v>5102</v>
      </c>
      <c r="I807" s="1" t="s">
        <v>18</v>
      </c>
      <c r="J807" s="1" t="s">
        <v>5071</v>
      </c>
      <c r="K807" s="6" t="s">
        <v>9723</v>
      </c>
      <c r="L807" s="6" t="s">
        <v>9724</v>
      </c>
      <c r="M807" s="1" t="s">
        <v>5125</v>
      </c>
      <c r="R807" s="1" t="b">
        <v>0</v>
      </c>
      <c r="T807" s="1">
        <v>466368.0</v>
      </c>
      <c r="U807" s="1" t="b">
        <v>0</v>
      </c>
      <c r="V807" s="1" t="s">
        <v>7789</v>
      </c>
      <c r="W807" s="1" t="s">
        <v>9725</v>
      </c>
      <c r="X807" s="1">
        <v>200.0</v>
      </c>
      <c r="Z807" s="1" t="s">
        <v>8921</v>
      </c>
      <c r="AE807" s="6" t="s">
        <v>9726</v>
      </c>
      <c r="AG807" s="5">
        <v>44895.0</v>
      </c>
    </row>
    <row r="808">
      <c r="A808" s="1">
        <v>545751.0</v>
      </c>
      <c r="B808" s="1">
        <v>0.0</v>
      </c>
      <c r="C808" s="1" t="s">
        <v>9727</v>
      </c>
      <c r="D808" s="1" t="s">
        <v>5081</v>
      </c>
      <c r="F808" s="1" t="s">
        <v>9728</v>
      </c>
      <c r="G808" s="1" t="s">
        <v>5368</v>
      </c>
      <c r="H808" s="1" t="s">
        <v>5102</v>
      </c>
      <c r="I808" s="1" t="s">
        <v>18</v>
      </c>
      <c r="J808" s="1" t="s">
        <v>5071</v>
      </c>
      <c r="K808" s="6" t="s">
        <v>9729</v>
      </c>
      <c r="L808" s="6" t="s">
        <v>9730</v>
      </c>
      <c r="M808" s="1" t="s">
        <v>5125</v>
      </c>
      <c r="R808" s="1" t="b">
        <v>0</v>
      </c>
      <c r="T808" s="1">
        <v>466368.0</v>
      </c>
      <c r="U808" s="1" t="b">
        <v>0</v>
      </c>
      <c r="V808" s="1" t="s">
        <v>7789</v>
      </c>
      <c r="W808" s="1" t="s">
        <v>9725</v>
      </c>
      <c r="X808" s="1">
        <v>200.0</v>
      </c>
      <c r="Z808" s="1" t="s">
        <v>8921</v>
      </c>
      <c r="AA808" s="1" t="s">
        <v>9722</v>
      </c>
      <c r="AE808" s="6" t="s">
        <v>9731</v>
      </c>
      <c r="AG808" s="5">
        <v>44895.0</v>
      </c>
    </row>
    <row r="809">
      <c r="A809" s="1">
        <v>545764.0</v>
      </c>
      <c r="B809" s="1">
        <v>0.0</v>
      </c>
      <c r="C809" s="1" t="s">
        <v>9732</v>
      </c>
      <c r="D809" s="1" t="s">
        <v>5068</v>
      </c>
      <c r="F809" s="1" t="s">
        <v>9733</v>
      </c>
      <c r="G809" s="1" t="s">
        <v>26</v>
      </c>
      <c r="H809" s="1" t="s">
        <v>5102</v>
      </c>
      <c r="I809" s="1" t="s">
        <v>18</v>
      </c>
      <c r="J809" s="1" t="s">
        <v>5071</v>
      </c>
      <c r="K809" s="6" t="s">
        <v>9734</v>
      </c>
      <c r="L809" s="6" t="s">
        <v>9735</v>
      </c>
      <c r="M809" s="1" t="s">
        <v>5125</v>
      </c>
      <c r="R809" s="1" t="b">
        <v>0</v>
      </c>
      <c r="T809" s="1">
        <v>4132.0</v>
      </c>
      <c r="U809" s="1" t="b">
        <v>0</v>
      </c>
      <c r="V809" s="1" t="s">
        <v>6143</v>
      </c>
      <c r="W809" s="1" t="s">
        <v>9736</v>
      </c>
      <c r="X809" s="1">
        <v>200.0</v>
      </c>
      <c r="Z809" s="1" t="s">
        <v>6054</v>
      </c>
      <c r="AE809" s="6" t="s">
        <v>9737</v>
      </c>
      <c r="AG809" s="5">
        <v>44895.0</v>
      </c>
    </row>
    <row r="810">
      <c r="A810" s="1">
        <v>545765.0</v>
      </c>
      <c r="B810" s="1">
        <v>0.0</v>
      </c>
      <c r="C810" s="1" t="s">
        <v>9738</v>
      </c>
      <c r="D810" s="1" t="s">
        <v>5081</v>
      </c>
      <c r="F810" s="1" t="s">
        <v>9739</v>
      </c>
      <c r="G810" s="1" t="s">
        <v>26</v>
      </c>
      <c r="H810" s="1" t="s">
        <v>5102</v>
      </c>
      <c r="I810" s="1" t="s">
        <v>18</v>
      </c>
      <c r="J810" s="1" t="s">
        <v>5071</v>
      </c>
      <c r="K810" s="6" t="s">
        <v>9740</v>
      </c>
      <c r="L810" s="6" t="s">
        <v>9741</v>
      </c>
      <c r="M810" s="1" t="s">
        <v>5125</v>
      </c>
      <c r="R810" s="1" t="b">
        <v>0</v>
      </c>
      <c r="T810" s="1">
        <v>4132.0</v>
      </c>
      <c r="U810" s="1" t="b">
        <v>0</v>
      </c>
      <c r="V810" s="1" t="s">
        <v>6143</v>
      </c>
      <c r="W810" s="1" t="s">
        <v>9736</v>
      </c>
      <c r="X810" s="1">
        <v>200.0</v>
      </c>
      <c r="Z810" s="1" t="s">
        <v>6054</v>
      </c>
      <c r="AA810" s="1" t="s">
        <v>9733</v>
      </c>
      <c r="AE810" s="6" t="s">
        <v>9742</v>
      </c>
      <c r="AG810" s="5">
        <v>44895.0</v>
      </c>
    </row>
    <row r="811">
      <c r="A811" s="1">
        <v>545782.0</v>
      </c>
      <c r="B811" s="1">
        <v>0.0</v>
      </c>
      <c r="C811" s="1" t="s">
        <v>9743</v>
      </c>
      <c r="D811" s="1" t="s">
        <v>5068</v>
      </c>
      <c r="F811" s="1" t="s">
        <v>9744</v>
      </c>
      <c r="G811" s="1" t="s">
        <v>5122</v>
      </c>
      <c r="H811" s="1" t="s">
        <v>5102</v>
      </c>
      <c r="I811" s="1" t="s">
        <v>18</v>
      </c>
      <c r="J811" s="1" t="s">
        <v>5071</v>
      </c>
      <c r="K811" s="6" t="s">
        <v>9745</v>
      </c>
      <c r="L811" s="6" t="s">
        <v>9746</v>
      </c>
      <c r="M811" s="1" t="s">
        <v>5125</v>
      </c>
      <c r="N811" s="1" t="s">
        <v>9747</v>
      </c>
      <c r="R811" s="1" t="b">
        <v>0</v>
      </c>
      <c r="T811" s="1">
        <v>3756.0</v>
      </c>
      <c r="U811" s="1" t="b">
        <v>0</v>
      </c>
      <c r="V811" s="1" t="s">
        <v>9748</v>
      </c>
      <c r="X811" s="1">
        <v>200.0</v>
      </c>
      <c r="Z811" s="1" t="s">
        <v>5076</v>
      </c>
      <c r="AE811" s="6" t="s">
        <v>9749</v>
      </c>
      <c r="AG811" s="5">
        <v>44895.0</v>
      </c>
    </row>
    <row r="812">
      <c r="A812" s="1">
        <v>545783.0</v>
      </c>
      <c r="B812" s="1">
        <v>0.0</v>
      </c>
      <c r="C812" s="1" t="s">
        <v>9750</v>
      </c>
      <c r="D812" s="1" t="s">
        <v>5081</v>
      </c>
      <c r="F812" s="1" t="s">
        <v>9751</v>
      </c>
      <c r="G812" s="1" t="s">
        <v>5122</v>
      </c>
      <c r="H812" s="1" t="s">
        <v>5102</v>
      </c>
      <c r="I812" s="1" t="s">
        <v>18</v>
      </c>
      <c r="J812" s="1" t="s">
        <v>5071</v>
      </c>
      <c r="K812" s="6" t="s">
        <v>9752</v>
      </c>
      <c r="L812" s="6" t="s">
        <v>9753</v>
      </c>
      <c r="M812" s="1" t="s">
        <v>5125</v>
      </c>
      <c r="N812" s="1" t="s">
        <v>9754</v>
      </c>
      <c r="R812" s="1" t="b">
        <v>0</v>
      </c>
      <c r="T812" s="1">
        <v>3756.0</v>
      </c>
      <c r="U812" s="1" t="b">
        <v>0</v>
      </c>
      <c r="V812" s="1" t="s">
        <v>9748</v>
      </c>
      <c r="X812" s="1">
        <v>200.0</v>
      </c>
      <c r="Z812" s="1" t="s">
        <v>5076</v>
      </c>
      <c r="AA812" s="1" t="s">
        <v>9744</v>
      </c>
      <c r="AE812" s="6" t="s">
        <v>9755</v>
      </c>
      <c r="AG812" s="5">
        <v>44895.0</v>
      </c>
    </row>
    <row r="813">
      <c r="A813" s="1">
        <v>545790.0</v>
      </c>
      <c r="B813" s="1">
        <v>0.0</v>
      </c>
      <c r="C813" s="1" t="s">
        <v>9756</v>
      </c>
      <c r="D813" s="1" t="s">
        <v>5068</v>
      </c>
      <c r="F813" s="1" t="s">
        <v>9757</v>
      </c>
      <c r="G813" s="1" t="s">
        <v>26</v>
      </c>
      <c r="H813" s="1" t="s">
        <v>5102</v>
      </c>
      <c r="I813" s="1" t="s">
        <v>18</v>
      </c>
      <c r="J813" s="1" t="s">
        <v>5071</v>
      </c>
      <c r="K813" s="6" t="s">
        <v>9758</v>
      </c>
      <c r="L813" s="6" t="s">
        <v>9759</v>
      </c>
      <c r="M813" s="1" t="s">
        <v>5125</v>
      </c>
      <c r="R813" s="1" t="b">
        <v>0</v>
      </c>
      <c r="T813" s="1">
        <v>197915.0</v>
      </c>
      <c r="U813" s="1" t="b">
        <v>0</v>
      </c>
      <c r="V813" s="1" t="s">
        <v>8614</v>
      </c>
      <c r="W813" s="1" t="s">
        <v>9760</v>
      </c>
      <c r="X813" s="1">
        <v>200.0</v>
      </c>
      <c r="Z813" s="1" t="s">
        <v>440</v>
      </c>
      <c r="AE813" s="6" t="s">
        <v>9761</v>
      </c>
      <c r="AG813" s="5">
        <v>44895.0</v>
      </c>
    </row>
    <row r="814">
      <c r="A814" s="1">
        <v>545791.0</v>
      </c>
      <c r="B814" s="1">
        <v>0.0</v>
      </c>
      <c r="C814" s="1" t="s">
        <v>9762</v>
      </c>
      <c r="D814" s="1" t="s">
        <v>5081</v>
      </c>
      <c r="F814" s="1" t="s">
        <v>9763</v>
      </c>
      <c r="G814" s="1" t="s">
        <v>26</v>
      </c>
      <c r="H814" s="1" t="s">
        <v>5102</v>
      </c>
      <c r="I814" s="1" t="s">
        <v>18</v>
      </c>
      <c r="J814" s="1" t="s">
        <v>5071</v>
      </c>
      <c r="K814" s="6" t="s">
        <v>9764</v>
      </c>
      <c r="L814" s="6" t="s">
        <v>9765</v>
      </c>
      <c r="M814" s="1" t="s">
        <v>5125</v>
      </c>
      <c r="R814" s="1" t="b">
        <v>0</v>
      </c>
      <c r="T814" s="1">
        <v>197915.0</v>
      </c>
      <c r="U814" s="1" t="b">
        <v>0</v>
      </c>
      <c r="V814" s="1" t="s">
        <v>8614</v>
      </c>
      <c r="W814" s="1" t="s">
        <v>9760</v>
      </c>
      <c r="X814" s="1">
        <v>200.0</v>
      </c>
      <c r="Z814" s="1" t="s">
        <v>440</v>
      </c>
      <c r="AA814" s="1" t="s">
        <v>9757</v>
      </c>
      <c r="AE814" s="6" t="s">
        <v>9766</v>
      </c>
      <c r="AG814" s="5">
        <v>44895.0</v>
      </c>
    </row>
    <row r="815">
      <c r="A815" s="1">
        <v>545796.0</v>
      </c>
      <c r="B815" s="1">
        <v>0.0</v>
      </c>
      <c r="C815" s="1" t="s">
        <v>9767</v>
      </c>
      <c r="D815" s="1" t="s">
        <v>5068</v>
      </c>
      <c r="F815" s="1" t="s">
        <v>9768</v>
      </c>
      <c r="G815" s="1" t="s">
        <v>26</v>
      </c>
      <c r="H815" s="1" t="s">
        <v>5102</v>
      </c>
      <c r="I815" s="1" t="s">
        <v>18</v>
      </c>
      <c r="J815" s="1" t="s">
        <v>5071</v>
      </c>
      <c r="K815" s="6" t="s">
        <v>9769</v>
      </c>
      <c r="L815" s="6" t="s">
        <v>9770</v>
      </c>
      <c r="M815" s="1" t="s">
        <v>5125</v>
      </c>
      <c r="R815" s="1" t="b">
        <v>0</v>
      </c>
      <c r="T815" s="1">
        <v>197915.0</v>
      </c>
      <c r="U815" s="1" t="b">
        <v>0</v>
      </c>
      <c r="V815" s="1" t="s">
        <v>9771</v>
      </c>
      <c r="W815" s="1" t="s">
        <v>9772</v>
      </c>
      <c r="X815" s="1">
        <v>200.0</v>
      </c>
      <c r="Z815" s="1" t="s">
        <v>440</v>
      </c>
      <c r="AE815" s="6" t="s">
        <v>9773</v>
      </c>
      <c r="AG815" s="5">
        <v>44895.0</v>
      </c>
    </row>
    <row r="816">
      <c r="A816" s="1">
        <v>545797.0</v>
      </c>
      <c r="B816" s="1">
        <v>0.0</v>
      </c>
      <c r="C816" s="1" t="s">
        <v>9774</v>
      </c>
      <c r="D816" s="1" t="s">
        <v>5081</v>
      </c>
      <c r="F816" s="1" t="s">
        <v>9775</v>
      </c>
      <c r="G816" s="1" t="s">
        <v>26</v>
      </c>
      <c r="H816" s="1" t="s">
        <v>5102</v>
      </c>
      <c r="I816" s="1" t="s">
        <v>18</v>
      </c>
      <c r="J816" s="1" t="s">
        <v>5071</v>
      </c>
      <c r="K816" s="6" t="s">
        <v>9776</v>
      </c>
      <c r="L816" s="6" t="s">
        <v>9777</v>
      </c>
      <c r="M816" s="1" t="s">
        <v>5125</v>
      </c>
      <c r="R816" s="1" t="b">
        <v>0</v>
      </c>
      <c r="T816" s="1">
        <v>197915.0</v>
      </c>
      <c r="U816" s="1" t="b">
        <v>0</v>
      </c>
      <c r="V816" s="1" t="s">
        <v>9771</v>
      </c>
      <c r="W816" s="1" t="s">
        <v>9772</v>
      </c>
      <c r="X816" s="1">
        <v>200.0</v>
      </c>
      <c r="Z816" s="1" t="s">
        <v>440</v>
      </c>
      <c r="AA816" s="1" t="s">
        <v>9768</v>
      </c>
      <c r="AE816" s="6" t="s">
        <v>9778</v>
      </c>
      <c r="AG816" s="5">
        <v>44895.0</v>
      </c>
    </row>
    <row r="817">
      <c r="A817" s="1">
        <v>545800.0</v>
      </c>
      <c r="B817" s="1">
        <v>0.0</v>
      </c>
      <c r="C817" s="1" t="s">
        <v>9779</v>
      </c>
      <c r="D817" s="1" t="s">
        <v>5068</v>
      </c>
      <c r="F817" s="1" t="s">
        <v>9780</v>
      </c>
      <c r="G817" s="1" t="s">
        <v>26</v>
      </c>
      <c r="H817" s="1" t="s">
        <v>5102</v>
      </c>
      <c r="I817" s="1" t="s">
        <v>18</v>
      </c>
      <c r="J817" s="1" t="s">
        <v>5071</v>
      </c>
      <c r="K817" s="6" t="s">
        <v>9781</v>
      </c>
      <c r="L817" s="6" t="s">
        <v>9782</v>
      </c>
      <c r="M817" s="1" t="s">
        <v>5125</v>
      </c>
      <c r="R817" s="1" t="b">
        <v>0</v>
      </c>
      <c r="T817" s="1">
        <v>197915.0</v>
      </c>
      <c r="U817" s="1" t="b">
        <v>0</v>
      </c>
      <c r="V817" s="1" t="s">
        <v>9771</v>
      </c>
      <c r="W817" s="1" t="s">
        <v>9783</v>
      </c>
      <c r="X817" s="1">
        <v>200.0</v>
      </c>
      <c r="Z817" s="1" t="s">
        <v>440</v>
      </c>
      <c r="AE817" s="6" t="s">
        <v>9784</v>
      </c>
      <c r="AG817" s="5">
        <v>44895.0</v>
      </c>
    </row>
    <row r="818">
      <c r="A818" s="1">
        <v>545801.0</v>
      </c>
      <c r="B818" s="1">
        <v>0.0</v>
      </c>
      <c r="C818" s="1" t="s">
        <v>9785</v>
      </c>
      <c r="D818" s="1" t="s">
        <v>5081</v>
      </c>
      <c r="F818" s="1" t="s">
        <v>9786</v>
      </c>
      <c r="G818" s="1" t="s">
        <v>26</v>
      </c>
      <c r="H818" s="1" t="s">
        <v>5102</v>
      </c>
      <c r="I818" s="1" t="s">
        <v>18</v>
      </c>
      <c r="J818" s="1" t="s">
        <v>5071</v>
      </c>
      <c r="K818" s="6" t="s">
        <v>9787</v>
      </c>
      <c r="L818" s="6" t="s">
        <v>9788</v>
      </c>
      <c r="M818" s="1" t="s">
        <v>5125</v>
      </c>
      <c r="R818" s="1" t="b">
        <v>0</v>
      </c>
      <c r="T818" s="1">
        <v>197915.0</v>
      </c>
      <c r="U818" s="1" t="b">
        <v>0</v>
      </c>
      <c r="V818" s="1" t="s">
        <v>9771</v>
      </c>
      <c r="W818" s="1" t="s">
        <v>9783</v>
      </c>
      <c r="X818" s="1">
        <v>200.0</v>
      </c>
      <c r="Z818" s="1" t="s">
        <v>440</v>
      </c>
      <c r="AA818" s="1" t="s">
        <v>9780</v>
      </c>
      <c r="AE818" s="6" t="s">
        <v>9789</v>
      </c>
      <c r="AG818" s="5">
        <v>44895.0</v>
      </c>
    </row>
    <row r="819">
      <c r="A819" s="1">
        <v>545802.0</v>
      </c>
      <c r="B819" s="1">
        <v>0.0</v>
      </c>
      <c r="C819" s="1" t="s">
        <v>9790</v>
      </c>
      <c r="D819" s="1" t="s">
        <v>5068</v>
      </c>
      <c r="F819" s="1" t="s">
        <v>9791</v>
      </c>
      <c r="G819" s="1" t="s">
        <v>26</v>
      </c>
      <c r="H819" s="1" t="s">
        <v>5102</v>
      </c>
      <c r="I819" s="1" t="s">
        <v>18</v>
      </c>
      <c r="J819" s="1" t="s">
        <v>5071</v>
      </c>
      <c r="K819" s="6" t="s">
        <v>9792</v>
      </c>
      <c r="L819" s="6" t="s">
        <v>9793</v>
      </c>
      <c r="M819" s="1" t="s">
        <v>5125</v>
      </c>
      <c r="R819" s="1" t="b">
        <v>0</v>
      </c>
      <c r="T819" s="1">
        <v>197915.0</v>
      </c>
      <c r="U819" s="1" t="b">
        <v>0</v>
      </c>
      <c r="V819" s="1" t="s">
        <v>6125</v>
      </c>
      <c r="X819" s="1">
        <v>200.0</v>
      </c>
      <c r="Z819" s="1" t="s">
        <v>440</v>
      </c>
      <c r="AE819" s="6" t="s">
        <v>9794</v>
      </c>
      <c r="AG819" s="5">
        <v>44895.0</v>
      </c>
    </row>
    <row r="820">
      <c r="A820" s="1">
        <v>545803.0</v>
      </c>
      <c r="B820" s="1">
        <v>0.0</v>
      </c>
      <c r="C820" s="1" t="s">
        <v>9795</v>
      </c>
      <c r="D820" s="1" t="s">
        <v>5081</v>
      </c>
      <c r="F820" s="1" t="s">
        <v>9796</v>
      </c>
      <c r="G820" s="1" t="s">
        <v>26</v>
      </c>
      <c r="H820" s="1" t="s">
        <v>5102</v>
      </c>
      <c r="I820" s="1" t="s">
        <v>18</v>
      </c>
      <c r="J820" s="1" t="s">
        <v>5071</v>
      </c>
      <c r="K820" s="6" t="s">
        <v>9797</v>
      </c>
      <c r="L820" s="6" t="s">
        <v>9798</v>
      </c>
      <c r="M820" s="1" t="s">
        <v>5125</v>
      </c>
      <c r="R820" s="1" t="b">
        <v>0</v>
      </c>
      <c r="T820" s="1">
        <v>197915.0</v>
      </c>
      <c r="U820" s="1" t="b">
        <v>0</v>
      </c>
      <c r="V820" s="1" t="s">
        <v>6125</v>
      </c>
      <c r="X820" s="1">
        <v>200.0</v>
      </c>
      <c r="Z820" s="1" t="s">
        <v>440</v>
      </c>
      <c r="AA820" s="1" t="s">
        <v>9791</v>
      </c>
      <c r="AE820" s="6" t="s">
        <v>9799</v>
      </c>
      <c r="AG820" s="5">
        <v>44895.0</v>
      </c>
    </row>
    <row r="821">
      <c r="A821" s="1">
        <v>545864.0</v>
      </c>
      <c r="B821" s="1">
        <v>0.0</v>
      </c>
      <c r="C821" s="1" t="s">
        <v>9800</v>
      </c>
      <c r="D821" s="1" t="s">
        <v>5068</v>
      </c>
      <c r="F821" s="1" t="s">
        <v>9801</v>
      </c>
      <c r="G821" s="1" t="s">
        <v>26</v>
      </c>
      <c r="H821" s="1" t="s">
        <v>5102</v>
      </c>
      <c r="I821" s="1" t="s">
        <v>18</v>
      </c>
      <c r="J821" s="1" t="s">
        <v>5071</v>
      </c>
      <c r="K821" s="6" t="s">
        <v>9802</v>
      </c>
      <c r="L821" s="6" t="s">
        <v>9803</v>
      </c>
      <c r="M821" s="1" t="s">
        <v>5125</v>
      </c>
      <c r="R821" s="1" t="b">
        <v>0</v>
      </c>
      <c r="T821" s="1">
        <v>4132.0</v>
      </c>
      <c r="U821" s="1" t="b">
        <v>0</v>
      </c>
      <c r="V821" s="1" t="s">
        <v>6623</v>
      </c>
      <c r="W821" s="1" t="s">
        <v>9804</v>
      </c>
      <c r="X821" s="1">
        <v>200.0</v>
      </c>
      <c r="Z821" s="1" t="s">
        <v>6054</v>
      </c>
      <c r="AE821" s="6" t="s">
        <v>9805</v>
      </c>
      <c r="AG821" s="5">
        <v>44895.0</v>
      </c>
    </row>
    <row r="822">
      <c r="A822" s="1">
        <v>545865.0</v>
      </c>
      <c r="B822" s="1">
        <v>0.0</v>
      </c>
      <c r="C822" s="1" t="s">
        <v>9806</v>
      </c>
      <c r="D822" s="1" t="s">
        <v>5081</v>
      </c>
      <c r="F822" s="1" t="s">
        <v>9807</v>
      </c>
      <c r="G822" s="1" t="s">
        <v>26</v>
      </c>
      <c r="H822" s="1" t="s">
        <v>5102</v>
      </c>
      <c r="I822" s="1" t="s">
        <v>18</v>
      </c>
      <c r="J822" s="1" t="s">
        <v>5071</v>
      </c>
      <c r="K822" s="6" t="s">
        <v>9808</v>
      </c>
      <c r="L822" s="6" t="s">
        <v>9809</v>
      </c>
      <c r="M822" s="1" t="s">
        <v>5125</v>
      </c>
      <c r="R822" s="1" t="b">
        <v>0</v>
      </c>
      <c r="T822" s="1">
        <v>4132.0</v>
      </c>
      <c r="U822" s="1" t="b">
        <v>0</v>
      </c>
      <c r="V822" s="1" t="s">
        <v>6623</v>
      </c>
      <c r="W822" s="1" t="s">
        <v>9804</v>
      </c>
      <c r="X822" s="1">
        <v>200.0</v>
      </c>
      <c r="Z822" s="1" t="s">
        <v>6054</v>
      </c>
      <c r="AA822" s="1" t="s">
        <v>9801</v>
      </c>
      <c r="AE822" s="6" t="s">
        <v>9810</v>
      </c>
      <c r="AG822" s="5">
        <v>44895.0</v>
      </c>
    </row>
    <row r="823">
      <c r="A823" s="1">
        <v>545866.0</v>
      </c>
      <c r="B823" s="1">
        <v>0.0</v>
      </c>
      <c r="C823" s="1" t="s">
        <v>9811</v>
      </c>
      <c r="D823" s="1" t="s">
        <v>5068</v>
      </c>
      <c r="F823" s="1" t="s">
        <v>9812</v>
      </c>
      <c r="G823" s="1" t="s">
        <v>26</v>
      </c>
      <c r="H823" s="1" t="s">
        <v>5102</v>
      </c>
      <c r="I823" s="1" t="s">
        <v>18</v>
      </c>
      <c r="J823" s="1" t="s">
        <v>5071</v>
      </c>
      <c r="K823" s="6" t="s">
        <v>9813</v>
      </c>
      <c r="L823" s="6" t="s">
        <v>9814</v>
      </c>
      <c r="M823" s="1" t="s">
        <v>5125</v>
      </c>
      <c r="R823" s="1" t="b">
        <v>0</v>
      </c>
      <c r="T823" s="1">
        <v>4132.0</v>
      </c>
      <c r="U823" s="1" t="b">
        <v>0</v>
      </c>
      <c r="V823" s="1" t="s">
        <v>6623</v>
      </c>
      <c r="W823" s="1" t="s">
        <v>9804</v>
      </c>
      <c r="X823" s="1">
        <v>200.0</v>
      </c>
      <c r="Z823" s="1" t="s">
        <v>6054</v>
      </c>
      <c r="AE823" s="6" t="s">
        <v>9815</v>
      </c>
      <c r="AG823" s="5">
        <v>44895.0</v>
      </c>
    </row>
    <row r="824">
      <c r="A824" s="1">
        <v>545867.0</v>
      </c>
      <c r="B824" s="1">
        <v>0.0</v>
      </c>
      <c r="C824" s="1" t="s">
        <v>9816</v>
      </c>
      <c r="D824" s="1" t="s">
        <v>5081</v>
      </c>
      <c r="F824" s="1" t="s">
        <v>9817</v>
      </c>
      <c r="G824" s="1" t="s">
        <v>26</v>
      </c>
      <c r="H824" s="1" t="s">
        <v>5102</v>
      </c>
      <c r="I824" s="1" t="s">
        <v>18</v>
      </c>
      <c r="J824" s="1" t="s">
        <v>5071</v>
      </c>
      <c r="K824" s="6" t="s">
        <v>9818</v>
      </c>
      <c r="L824" s="6" t="s">
        <v>9819</v>
      </c>
      <c r="M824" s="1" t="s">
        <v>5125</v>
      </c>
      <c r="R824" s="1" t="b">
        <v>0</v>
      </c>
      <c r="T824" s="1">
        <v>4132.0</v>
      </c>
      <c r="U824" s="1" t="b">
        <v>0</v>
      </c>
      <c r="V824" s="1" t="s">
        <v>6623</v>
      </c>
      <c r="W824" s="1" t="s">
        <v>9804</v>
      </c>
      <c r="X824" s="1">
        <v>200.0</v>
      </c>
      <c r="Z824" s="1" t="s">
        <v>6054</v>
      </c>
      <c r="AA824" s="1" t="s">
        <v>9812</v>
      </c>
      <c r="AE824" s="6" t="s">
        <v>9820</v>
      </c>
      <c r="AG824" s="5">
        <v>44895.0</v>
      </c>
    </row>
    <row r="825">
      <c r="A825" s="1">
        <v>545868.0</v>
      </c>
      <c r="B825" s="1">
        <v>0.0</v>
      </c>
      <c r="C825" s="1" t="s">
        <v>9821</v>
      </c>
      <c r="D825" s="1" t="s">
        <v>5068</v>
      </c>
      <c r="F825" s="1" t="s">
        <v>9822</v>
      </c>
      <c r="G825" s="1" t="s">
        <v>26</v>
      </c>
      <c r="H825" s="1" t="s">
        <v>5102</v>
      </c>
      <c r="I825" s="1" t="s">
        <v>18</v>
      </c>
      <c r="J825" s="1" t="s">
        <v>5071</v>
      </c>
      <c r="K825" s="1" t="s">
        <v>5072</v>
      </c>
      <c r="L825" s="6" t="s">
        <v>9823</v>
      </c>
      <c r="M825" s="1" t="s">
        <v>5125</v>
      </c>
      <c r="R825" s="1" t="b">
        <v>0</v>
      </c>
      <c r="T825" s="1">
        <v>4161.0</v>
      </c>
      <c r="U825" s="1" t="b">
        <v>0</v>
      </c>
      <c r="V825" s="1" t="s">
        <v>6623</v>
      </c>
      <c r="W825" s="1" t="s">
        <v>9804</v>
      </c>
      <c r="X825" s="1">
        <v>200.0</v>
      </c>
      <c r="Z825" s="1" t="s">
        <v>9824</v>
      </c>
      <c r="AE825" s="6" t="s">
        <v>9825</v>
      </c>
      <c r="AG825" s="5">
        <v>44895.0</v>
      </c>
    </row>
    <row r="826">
      <c r="A826" s="1">
        <v>545869.0</v>
      </c>
      <c r="B826" s="1">
        <v>0.0</v>
      </c>
      <c r="C826" s="1" t="s">
        <v>9826</v>
      </c>
      <c r="D826" s="1" t="s">
        <v>5081</v>
      </c>
      <c r="F826" s="1" t="s">
        <v>9827</v>
      </c>
      <c r="G826" s="1" t="s">
        <v>26</v>
      </c>
      <c r="H826" s="1" t="s">
        <v>5102</v>
      </c>
      <c r="I826" s="1" t="s">
        <v>18</v>
      </c>
      <c r="J826" s="1" t="s">
        <v>5071</v>
      </c>
      <c r="K826" s="6" t="s">
        <v>9828</v>
      </c>
      <c r="L826" s="6" t="s">
        <v>9829</v>
      </c>
      <c r="M826" s="1" t="s">
        <v>5125</v>
      </c>
      <c r="R826" s="1" t="b">
        <v>0</v>
      </c>
      <c r="T826" s="1">
        <v>4161.0</v>
      </c>
      <c r="U826" s="1" t="b">
        <v>0</v>
      </c>
      <c r="V826" s="1" t="s">
        <v>6623</v>
      </c>
      <c r="W826" s="1" t="s">
        <v>9804</v>
      </c>
      <c r="X826" s="1">
        <v>200.0</v>
      </c>
      <c r="Z826" s="1" t="s">
        <v>9824</v>
      </c>
      <c r="AA826" s="1" t="s">
        <v>9822</v>
      </c>
      <c r="AE826" s="6" t="s">
        <v>9830</v>
      </c>
      <c r="AG826" s="5">
        <v>44895.0</v>
      </c>
    </row>
    <row r="827">
      <c r="A827" s="1">
        <v>545874.0</v>
      </c>
      <c r="B827" s="1">
        <v>0.0</v>
      </c>
      <c r="C827" s="1" t="s">
        <v>9831</v>
      </c>
      <c r="D827" s="1" t="s">
        <v>5068</v>
      </c>
      <c r="F827" s="1" t="s">
        <v>9832</v>
      </c>
      <c r="G827" s="1" t="s">
        <v>26</v>
      </c>
      <c r="H827" s="1" t="s">
        <v>5102</v>
      </c>
      <c r="I827" s="1" t="s">
        <v>18</v>
      </c>
      <c r="J827" s="1" t="s">
        <v>5071</v>
      </c>
      <c r="K827" s="6" t="s">
        <v>9833</v>
      </c>
      <c r="L827" s="6" t="s">
        <v>9834</v>
      </c>
      <c r="M827" s="1" t="s">
        <v>5125</v>
      </c>
      <c r="R827" s="1" t="b">
        <v>0</v>
      </c>
      <c r="T827" s="1">
        <v>466396.0</v>
      </c>
      <c r="U827" s="1" t="b">
        <v>0</v>
      </c>
      <c r="V827" s="1" t="s">
        <v>6167</v>
      </c>
      <c r="W827" s="1" t="s">
        <v>9835</v>
      </c>
      <c r="X827" s="1">
        <v>200.0</v>
      </c>
      <c r="Z827" s="1" t="s">
        <v>8935</v>
      </c>
      <c r="AE827" s="6" t="s">
        <v>9836</v>
      </c>
      <c r="AG827" s="5">
        <v>44895.0</v>
      </c>
    </row>
    <row r="828">
      <c r="A828" s="1">
        <v>545875.0</v>
      </c>
      <c r="B828" s="1">
        <v>0.0</v>
      </c>
      <c r="C828" s="1" t="s">
        <v>9837</v>
      </c>
      <c r="D828" s="1" t="s">
        <v>5081</v>
      </c>
      <c r="F828" s="1" t="s">
        <v>9838</v>
      </c>
      <c r="G828" s="1" t="s">
        <v>26</v>
      </c>
      <c r="H828" s="1" t="s">
        <v>5102</v>
      </c>
      <c r="I828" s="1" t="s">
        <v>18</v>
      </c>
      <c r="J828" s="1" t="s">
        <v>5071</v>
      </c>
      <c r="K828" s="6" t="s">
        <v>9839</v>
      </c>
      <c r="L828" s="6" t="s">
        <v>9840</v>
      </c>
      <c r="M828" s="1" t="s">
        <v>5125</v>
      </c>
      <c r="R828" s="1" t="b">
        <v>0</v>
      </c>
      <c r="T828" s="1">
        <v>466396.0</v>
      </c>
      <c r="U828" s="1" t="b">
        <v>0</v>
      </c>
      <c r="V828" s="1" t="s">
        <v>6167</v>
      </c>
      <c r="W828" s="1" t="s">
        <v>9835</v>
      </c>
      <c r="X828" s="1">
        <v>200.0</v>
      </c>
      <c r="Z828" s="1" t="s">
        <v>8935</v>
      </c>
      <c r="AA828" s="1" t="s">
        <v>9832</v>
      </c>
      <c r="AE828" s="6" t="s">
        <v>9841</v>
      </c>
      <c r="AG828" s="5">
        <v>44895.0</v>
      </c>
    </row>
    <row r="829">
      <c r="A829" s="1">
        <v>547240.0</v>
      </c>
      <c r="B829" s="1">
        <v>0.0</v>
      </c>
      <c r="C829" s="1" t="s">
        <v>9842</v>
      </c>
      <c r="D829" s="1" t="s">
        <v>5068</v>
      </c>
      <c r="F829" s="1" t="s">
        <v>9843</v>
      </c>
      <c r="G829" s="1" t="s">
        <v>26</v>
      </c>
      <c r="H829" s="1" t="s">
        <v>5070</v>
      </c>
      <c r="I829" s="1" t="s">
        <v>18</v>
      </c>
      <c r="J829" s="1" t="s">
        <v>5071</v>
      </c>
      <c r="K829" s="6" t="s">
        <v>9844</v>
      </c>
      <c r="L829" s="6" t="s">
        <v>9845</v>
      </c>
      <c r="M829" s="1" t="s">
        <v>5125</v>
      </c>
      <c r="N829" s="1" t="s">
        <v>9846</v>
      </c>
      <c r="O829" s="5">
        <v>39083.0</v>
      </c>
      <c r="R829" s="1" t="b">
        <v>0</v>
      </c>
      <c r="U829" s="1" t="b">
        <v>0</v>
      </c>
      <c r="V829" s="1" t="s">
        <v>9847</v>
      </c>
      <c r="W829" s="1" t="s">
        <v>9848</v>
      </c>
      <c r="X829" s="1">
        <v>200.0</v>
      </c>
      <c r="Y829" s="1" t="s">
        <v>5075</v>
      </c>
      <c r="AG829" s="5">
        <v>44901.0</v>
      </c>
    </row>
  </sheetData>
  <hyperlinks>
    <hyperlink r:id="rId1" ref="L2"/>
    <hyperlink r:id="rId2" ref="AE2"/>
    <hyperlink r:id="rId3" ref="L3"/>
    <hyperlink r:id="rId4" ref="AE3"/>
    <hyperlink r:id="rId5" ref="K4"/>
    <hyperlink r:id="rId6" ref="L4"/>
    <hyperlink r:id="rId7" ref="AE4"/>
    <hyperlink r:id="rId8" ref="K5"/>
    <hyperlink r:id="rId9" ref="L5"/>
    <hyperlink r:id="rId10" ref="AE5"/>
    <hyperlink r:id="rId11" ref="K6"/>
    <hyperlink r:id="rId12" ref="L6"/>
    <hyperlink r:id="rId13" ref="K7"/>
    <hyperlink r:id="rId14" ref="L7"/>
    <hyperlink r:id="rId15" ref="L8"/>
    <hyperlink r:id="rId16" ref="K9"/>
    <hyperlink r:id="rId17" ref="L9"/>
    <hyperlink r:id="rId18" ref="K10"/>
    <hyperlink r:id="rId19" ref="L10"/>
    <hyperlink r:id="rId20" ref="K11"/>
    <hyperlink r:id="rId21" ref="L11"/>
    <hyperlink r:id="rId22" ref="L12"/>
    <hyperlink r:id="rId23" ref="K13"/>
    <hyperlink r:id="rId24" ref="L13"/>
    <hyperlink r:id="rId25" ref="K14"/>
    <hyperlink r:id="rId26" ref="L14"/>
    <hyperlink r:id="rId27" ref="K15"/>
    <hyperlink r:id="rId28" ref="L15"/>
    <hyperlink r:id="rId29" ref="K16"/>
    <hyperlink r:id="rId30" ref="L16"/>
    <hyperlink r:id="rId31" ref="K17"/>
    <hyperlink r:id="rId32" ref="L17"/>
    <hyperlink r:id="rId33" ref="K18"/>
    <hyperlink r:id="rId34" ref="L18"/>
    <hyperlink r:id="rId35" ref="K19"/>
    <hyperlink r:id="rId36" ref="L19"/>
    <hyperlink r:id="rId37" ref="K20"/>
    <hyperlink r:id="rId38" ref="L20"/>
    <hyperlink r:id="rId39" ref="K21"/>
    <hyperlink r:id="rId40" ref="L21"/>
    <hyperlink r:id="rId41" ref="K22"/>
    <hyperlink r:id="rId42" ref="L22"/>
    <hyperlink r:id="rId43" ref="K23"/>
    <hyperlink r:id="rId44" ref="L23"/>
    <hyperlink r:id="rId45" ref="K24"/>
    <hyperlink r:id="rId46" ref="L24"/>
    <hyperlink r:id="rId47" ref="K25"/>
    <hyperlink r:id="rId48" ref="L25"/>
    <hyperlink r:id="rId49" ref="K26"/>
    <hyperlink r:id="rId50" ref="L26"/>
    <hyperlink r:id="rId51" ref="K27"/>
    <hyperlink r:id="rId52" ref="L27"/>
    <hyperlink r:id="rId53" ref="K28"/>
    <hyperlink r:id="rId54" ref="L28"/>
    <hyperlink r:id="rId55" ref="K29"/>
    <hyperlink r:id="rId56" ref="L29"/>
    <hyperlink r:id="rId57" ref="K30"/>
    <hyperlink r:id="rId58" ref="L30"/>
    <hyperlink r:id="rId59" ref="K31"/>
    <hyperlink r:id="rId60" ref="L31"/>
    <hyperlink r:id="rId61" ref="K32"/>
    <hyperlink r:id="rId62" ref="L32"/>
    <hyperlink r:id="rId63" ref="K33"/>
    <hyperlink r:id="rId64" ref="L33"/>
    <hyperlink r:id="rId65" ref="K34"/>
    <hyperlink r:id="rId66" ref="L34"/>
    <hyperlink r:id="rId67" ref="K35"/>
    <hyperlink r:id="rId68" ref="L35"/>
    <hyperlink r:id="rId69" ref="K36"/>
    <hyperlink r:id="rId70" ref="L36"/>
    <hyperlink r:id="rId71" ref="K37"/>
    <hyperlink r:id="rId72" ref="L37"/>
    <hyperlink r:id="rId73" ref="K38"/>
    <hyperlink r:id="rId74" ref="L38"/>
    <hyperlink r:id="rId75" ref="K39"/>
    <hyperlink r:id="rId76" ref="L39"/>
    <hyperlink r:id="rId77" ref="K40"/>
    <hyperlink r:id="rId78" ref="L40"/>
    <hyperlink r:id="rId79" ref="K41"/>
    <hyperlink r:id="rId80" ref="L41"/>
    <hyperlink r:id="rId81" ref="K42"/>
    <hyperlink r:id="rId82" ref="L42"/>
    <hyperlink r:id="rId83" ref="K43"/>
    <hyperlink r:id="rId84" ref="L43"/>
    <hyperlink r:id="rId85" ref="K44"/>
    <hyperlink r:id="rId86" ref="L44"/>
    <hyperlink r:id="rId87" ref="K45"/>
    <hyperlink r:id="rId88" ref="L45"/>
    <hyperlink r:id="rId89" ref="K46"/>
    <hyperlink r:id="rId90" ref="L46"/>
    <hyperlink r:id="rId91" ref="K47"/>
    <hyperlink r:id="rId92" ref="L47"/>
    <hyperlink r:id="rId93" ref="K48"/>
    <hyperlink r:id="rId94" ref="L48"/>
    <hyperlink r:id="rId95" ref="K49"/>
    <hyperlink r:id="rId96" ref="L49"/>
    <hyperlink r:id="rId97" ref="K50"/>
    <hyperlink r:id="rId98" ref="L50"/>
    <hyperlink r:id="rId99" ref="K51"/>
    <hyperlink r:id="rId100" ref="L51"/>
    <hyperlink r:id="rId101" ref="K52"/>
    <hyperlink r:id="rId102" ref="L52"/>
    <hyperlink r:id="rId103" ref="K53"/>
    <hyperlink r:id="rId104" ref="L53"/>
    <hyperlink r:id="rId105" ref="K54"/>
    <hyperlink r:id="rId106" ref="L54"/>
    <hyperlink r:id="rId107" ref="K55"/>
    <hyperlink r:id="rId108" ref="L55"/>
    <hyperlink r:id="rId109" ref="K56"/>
    <hyperlink r:id="rId110" ref="L56"/>
    <hyperlink r:id="rId111" ref="K57"/>
    <hyperlink r:id="rId112" ref="L57"/>
    <hyperlink r:id="rId113" ref="K58"/>
    <hyperlink r:id="rId114" ref="L58"/>
    <hyperlink r:id="rId115" ref="K59"/>
    <hyperlink r:id="rId116" ref="L59"/>
    <hyperlink r:id="rId117" ref="K60"/>
    <hyperlink r:id="rId118" ref="L60"/>
    <hyperlink r:id="rId119" ref="K61"/>
    <hyperlink r:id="rId120" ref="L61"/>
    <hyperlink r:id="rId121" ref="K62"/>
    <hyperlink r:id="rId122" ref="L62"/>
    <hyperlink r:id="rId123" ref="K63"/>
    <hyperlink r:id="rId124" ref="L63"/>
    <hyperlink r:id="rId125" ref="K64"/>
    <hyperlink r:id="rId126" ref="L64"/>
    <hyperlink r:id="rId127" ref="K65"/>
    <hyperlink r:id="rId128" ref="L65"/>
    <hyperlink r:id="rId129" ref="L66"/>
    <hyperlink r:id="rId130" ref="L67"/>
    <hyperlink r:id="rId131" ref="K68"/>
    <hyperlink r:id="rId132" ref="L68"/>
    <hyperlink r:id="rId133" ref="K69"/>
    <hyperlink r:id="rId134" ref="L69"/>
    <hyperlink r:id="rId135" ref="K70"/>
    <hyperlink r:id="rId136" ref="L70"/>
    <hyperlink r:id="rId137" ref="K71"/>
    <hyperlink r:id="rId138" ref="L71"/>
    <hyperlink r:id="rId139" ref="K72"/>
    <hyperlink r:id="rId140" ref="L72"/>
    <hyperlink r:id="rId141" ref="L73"/>
    <hyperlink r:id="rId142" ref="K74"/>
    <hyperlink r:id="rId143" ref="L74"/>
    <hyperlink r:id="rId144" ref="L75"/>
    <hyperlink r:id="rId145" ref="K76"/>
    <hyperlink r:id="rId146" ref="L76"/>
    <hyperlink r:id="rId147" ref="K77"/>
    <hyperlink r:id="rId148" ref="L77"/>
    <hyperlink r:id="rId149" ref="K78"/>
    <hyperlink r:id="rId150" ref="L78"/>
    <hyperlink r:id="rId151" ref="K79"/>
    <hyperlink r:id="rId152" ref="L79"/>
    <hyperlink r:id="rId153" ref="K80"/>
    <hyperlink r:id="rId154" ref="L80"/>
    <hyperlink r:id="rId155" ref="K81"/>
    <hyperlink r:id="rId156" ref="L81"/>
    <hyperlink r:id="rId157" ref="K82"/>
    <hyperlink r:id="rId158" ref="L82"/>
    <hyperlink r:id="rId159" ref="K83"/>
    <hyperlink r:id="rId160" ref="L83"/>
    <hyperlink r:id="rId161" ref="K84"/>
    <hyperlink r:id="rId162" ref="L84"/>
    <hyperlink r:id="rId163" ref="L85"/>
    <hyperlink r:id="rId164" ref="K86"/>
    <hyperlink r:id="rId165" ref="L86"/>
    <hyperlink r:id="rId166" ref="K87"/>
    <hyperlink r:id="rId167" ref="L87"/>
    <hyperlink r:id="rId168" ref="K88"/>
    <hyperlink r:id="rId169" ref="L88"/>
    <hyperlink r:id="rId170" ref="K89"/>
    <hyperlink r:id="rId171" ref="L89"/>
    <hyperlink r:id="rId172" ref="K90"/>
    <hyperlink r:id="rId173" ref="L90"/>
    <hyperlink r:id="rId174" ref="K91"/>
    <hyperlink r:id="rId175" ref="L91"/>
    <hyperlink r:id="rId176" ref="K92"/>
    <hyperlink r:id="rId177" ref="L92"/>
    <hyperlink r:id="rId178" ref="K93"/>
    <hyperlink r:id="rId179" ref="L93"/>
    <hyperlink r:id="rId180" ref="K94"/>
    <hyperlink r:id="rId181" ref="L94"/>
    <hyperlink r:id="rId182" ref="K95"/>
    <hyperlink r:id="rId183" ref="L95"/>
    <hyperlink r:id="rId184" ref="K96"/>
    <hyperlink r:id="rId185" ref="L96"/>
    <hyperlink r:id="rId186" ref="K97"/>
    <hyperlink r:id="rId187" ref="L97"/>
    <hyperlink r:id="rId188" ref="K98"/>
    <hyperlink r:id="rId189" ref="L98"/>
    <hyperlink r:id="rId190" ref="K99"/>
    <hyperlink r:id="rId191" ref="L99"/>
    <hyperlink r:id="rId192" ref="L100"/>
    <hyperlink r:id="rId193" ref="L101"/>
    <hyperlink r:id="rId194" ref="L102"/>
    <hyperlink r:id="rId195" ref="L103"/>
    <hyperlink r:id="rId196" ref="L104"/>
    <hyperlink r:id="rId197" ref="L105"/>
    <hyperlink r:id="rId198" ref="L106"/>
    <hyperlink r:id="rId199" ref="L107"/>
    <hyperlink r:id="rId200" ref="K108"/>
    <hyperlink r:id="rId201" ref="L108"/>
    <hyperlink r:id="rId202" ref="K109"/>
    <hyperlink r:id="rId203" ref="L109"/>
    <hyperlink r:id="rId204" ref="K110"/>
    <hyperlink r:id="rId205" ref="L110"/>
    <hyperlink r:id="rId206" ref="L111"/>
    <hyperlink r:id="rId207" ref="K112"/>
    <hyperlink r:id="rId208" ref="L112"/>
    <hyperlink r:id="rId209" ref="K113"/>
    <hyperlink r:id="rId210" ref="L113"/>
    <hyperlink r:id="rId211" ref="K114"/>
    <hyperlink r:id="rId212" ref="L114"/>
    <hyperlink r:id="rId213" ref="K115"/>
    <hyperlink r:id="rId214" ref="L115"/>
    <hyperlink r:id="rId215" ref="L116"/>
    <hyperlink r:id="rId216" ref="L117"/>
    <hyperlink r:id="rId217" ref="K118"/>
    <hyperlink r:id="rId218" ref="L118"/>
    <hyperlink r:id="rId219" ref="AE118"/>
    <hyperlink r:id="rId220" ref="L119"/>
    <hyperlink r:id="rId221" ref="AE119"/>
    <hyperlink r:id="rId222" ref="K120"/>
    <hyperlink r:id="rId223" ref="L120"/>
    <hyperlink r:id="rId224" ref="AE120"/>
    <hyperlink r:id="rId225" ref="K121"/>
    <hyperlink r:id="rId226" ref="L121"/>
    <hyperlink r:id="rId227" ref="AE121"/>
    <hyperlink r:id="rId228" ref="K122"/>
    <hyperlink r:id="rId229" ref="L122"/>
    <hyperlink r:id="rId230" ref="AE122"/>
    <hyperlink r:id="rId231" ref="K123"/>
    <hyperlink r:id="rId232" ref="L123"/>
    <hyperlink r:id="rId233" ref="AE123"/>
    <hyperlink r:id="rId234" ref="K124"/>
    <hyperlink r:id="rId235" ref="L124"/>
    <hyperlink r:id="rId236" ref="AE124"/>
    <hyperlink r:id="rId237" ref="K125"/>
    <hyperlink r:id="rId238" ref="L125"/>
    <hyperlink r:id="rId239" ref="AE125"/>
    <hyperlink r:id="rId240" ref="K126"/>
    <hyperlink r:id="rId241" ref="L126"/>
    <hyperlink r:id="rId242" ref="K127"/>
    <hyperlink r:id="rId243" ref="L127"/>
    <hyperlink r:id="rId244" ref="K128"/>
    <hyperlink r:id="rId245" ref="L128"/>
    <hyperlink r:id="rId246" ref="K129"/>
    <hyperlink r:id="rId247" ref="L129"/>
    <hyperlink r:id="rId248" ref="K130"/>
    <hyperlink r:id="rId249" ref="L130"/>
    <hyperlink r:id="rId250" ref="K131"/>
    <hyperlink r:id="rId251" ref="L131"/>
    <hyperlink r:id="rId252" ref="K132"/>
    <hyperlink r:id="rId253" ref="L132"/>
    <hyperlink r:id="rId254" ref="L133"/>
    <hyperlink r:id="rId255" ref="L134"/>
    <hyperlink r:id="rId256" ref="L135"/>
    <hyperlink r:id="rId257" ref="L136"/>
    <hyperlink r:id="rId258" ref="K137"/>
    <hyperlink r:id="rId259" ref="L137"/>
    <hyperlink r:id="rId260" ref="K138"/>
    <hyperlink r:id="rId261" ref="L138"/>
    <hyperlink r:id="rId262" ref="K139"/>
    <hyperlink r:id="rId263" ref="L139"/>
    <hyperlink r:id="rId264" ref="K140"/>
    <hyperlink r:id="rId265" ref="L140"/>
    <hyperlink r:id="rId266" ref="K141"/>
    <hyperlink r:id="rId267" ref="L141"/>
    <hyperlink r:id="rId268" ref="K142"/>
    <hyperlink r:id="rId269" ref="L142"/>
    <hyperlink r:id="rId270" ref="K143"/>
    <hyperlink r:id="rId271" ref="L143"/>
    <hyperlink r:id="rId272" ref="K144"/>
    <hyperlink r:id="rId273" ref="L144"/>
    <hyperlink r:id="rId274" ref="K145"/>
    <hyperlink r:id="rId275" ref="L145"/>
    <hyperlink r:id="rId276" ref="K146"/>
    <hyperlink r:id="rId277" ref="L146"/>
    <hyperlink r:id="rId278" ref="K147"/>
    <hyperlink r:id="rId279" ref="L147"/>
    <hyperlink r:id="rId280" ref="K148"/>
    <hyperlink r:id="rId281" ref="L148"/>
    <hyperlink r:id="rId282" ref="K149"/>
    <hyperlink r:id="rId283" ref="L149"/>
    <hyperlink r:id="rId284" ref="K150"/>
    <hyperlink r:id="rId285" ref="L150"/>
    <hyperlink r:id="rId286" ref="L151"/>
    <hyperlink r:id="rId287" ref="L152"/>
    <hyperlink r:id="rId288" ref="L153"/>
    <hyperlink r:id="rId289" ref="K154"/>
    <hyperlink r:id="rId290" ref="L154"/>
    <hyperlink r:id="rId291" ref="L155"/>
    <hyperlink r:id="rId292" ref="K156"/>
    <hyperlink r:id="rId293" ref="L156"/>
    <hyperlink r:id="rId294" ref="K157"/>
    <hyperlink r:id="rId295" ref="L157"/>
    <hyperlink r:id="rId296" ref="K158"/>
    <hyperlink r:id="rId297" ref="L158"/>
    <hyperlink r:id="rId298" ref="K159"/>
    <hyperlink r:id="rId299" ref="L159"/>
    <hyperlink r:id="rId300" ref="L160"/>
    <hyperlink r:id="rId301" ref="K161"/>
    <hyperlink r:id="rId302" ref="L161"/>
    <hyperlink r:id="rId303" ref="L162"/>
    <hyperlink r:id="rId304" ref="L163"/>
    <hyperlink r:id="rId305" ref="K164"/>
    <hyperlink r:id="rId306" ref="L164"/>
    <hyperlink r:id="rId307" ref="K165"/>
    <hyperlink r:id="rId308" ref="L165"/>
    <hyperlink r:id="rId309" ref="K166"/>
    <hyperlink r:id="rId310" ref="L166"/>
    <hyperlink r:id="rId311" ref="K167"/>
    <hyperlink r:id="rId312" ref="L167"/>
    <hyperlink r:id="rId313" ref="K168"/>
    <hyperlink r:id="rId314" ref="L168"/>
    <hyperlink r:id="rId315" ref="K169"/>
    <hyperlink r:id="rId316" ref="L169"/>
    <hyperlink r:id="rId317" ref="K170"/>
    <hyperlink r:id="rId318" ref="L170"/>
    <hyperlink r:id="rId319" ref="K171"/>
    <hyperlink r:id="rId320" ref="L171"/>
    <hyperlink r:id="rId321" ref="K172"/>
    <hyperlink r:id="rId322" ref="L172"/>
    <hyperlink r:id="rId323" ref="K173"/>
    <hyperlink r:id="rId324" ref="L173"/>
    <hyperlink r:id="rId325" ref="K174"/>
    <hyperlink r:id="rId326" ref="L174"/>
    <hyperlink r:id="rId327" ref="K175"/>
    <hyperlink r:id="rId328" ref="L175"/>
    <hyperlink r:id="rId329" ref="K176"/>
    <hyperlink r:id="rId330" ref="L176"/>
    <hyperlink r:id="rId331" ref="K177"/>
    <hyperlink r:id="rId332" ref="L177"/>
    <hyperlink r:id="rId333" ref="K178"/>
    <hyperlink r:id="rId334" ref="L178"/>
    <hyperlink r:id="rId335" ref="K179"/>
    <hyperlink r:id="rId336" ref="L179"/>
    <hyperlink r:id="rId337" ref="L180"/>
    <hyperlink r:id="rId338" ref="L181"/>
    <hyperlink r:id="rId339" ref="K182"/>
    <hyperlink r:id="rId340" ref="L182"/>
    <hyperlink r:id="rId341" ref="L183"/>
    <hyperlink r:id="rId342" ref="K184"/>
    <hyperlink r:id="rId343" ref="L184"/>
    <hyperlink r:id="rId344" ref="K185"/>
    <hyperlink r:id="rId345" ref="L185"/>
    <hyperlink r:id="rId346" ref="K186"/>
    <hyperlink r:id="rId347" ref="L186"/>
    <hyperlink r:id="rId348" ref="K187"/>
    <hyperlink r:id="rId349" ref="L187"/>
    <hyperlink r:id="rId350" ref="K188"/>
    <hyperlink r:id="rId351" ref="L188"/>
    <hyperlink r:id="rId352" ref="K189"/>
    <hyperlink r:id="rId353" ref="L189"/>
    <hyperlink r:id="rId354" ref="K190"/>
    <hyperlink r:id="rId355" ref="L190"/>
    <hyperlink r:id="rId356" ref="K191"/>
    <hyperlink r:id="rId357" ref="L191"/>
    <hyperlink r:id="rId358" ref="L192"/>
    <hyperlink r:id="rId359" ref="L193"/>
    <hyperlink r:id="rId360" ref="L194"/>
    <hyperlink r:id="rId361" ref="AE194"/>
    <hyperlink r:id="rId362" ref="L195"/>
    <hyperlink r:id="rId363" ref="AE195"/>
    <hyperlink r:id="rId364" ref="K196"/>
    <hyperlink r:id="rId365" ref="L196"/>
    <hyperlink r:id="rId366" ref="AE196"/>
    <hyperlink r:id="rId367" ref="K197"/>
    <hyperlink r:id="rId368" ref="L197"/>
    <hyperlink r:id="rId369" ref="AE197"/>
    <hyperlink r:id="rId370" ref="K198"/>
    <hyperlink r:id="rId371" ref="L198"/>
    <hyperlink r:id="rId372" ref="K199"/>
    <hyperlink r:id="rId373" ref="L199"/>
    <hyperlink r:id="rId374" ref="AE199"/>
    <hyperlink r:id="rId375" ref="L200"/>
    <hyperlink r:id="rId376" ref="AE200"/>
    <hyperlink r:id="rId377" ref="K201"/>
    <hyperlink r:id="rId378" ref="L201"/>
    <hyperlink r:id="rId379" ref="AE201"/>
    <hyperlink r:id="rId380" ref="K202"/>
    <hyperlink r:id="rId381" ref="L202"/>
    <hyperlink r:id="rId382" ref="AE202"/>
    <hyperlink r:id="rId383" ref="L203"/>
    <hyperlink r:id="rId384" ref="AE203"/>
    <hyperlink r:id="rId385" ref="L204"/>
    <hyperlink r:id="rId386" ref="AE204"/>
    <hyperlink r:id="rId387" ref="K205"/>
    <hyperlink r:id="rId388" ref="L205"/>
    <hyperlink r:id="rId389" ref="K206"/>
    <hyperlink r:id="rId390" ref="L206"/>
    <hyperlink r:id="rId391" ref="K207"/>
    <hyperlink r:id="rId392" ref="L207"/>
    <hyperlink r:id="rId393" ref="K208"/>
    <hyperlink r:id="rId394" ref="L208"/>
    <hyperlink r:id="rId395" ref="K209"/>
    <hyperlink r:id="rId396" ref="L209"/>
    <hyperlink r:id="rId397" ref="K210"/>
    <hyperlink r:id="rId398" ref="L210"/>
    <hyperlink r:id="rId399" ref="K211"/>
    <hyperlink r:id="rId400" ref="L211"/>
    <hyperlink r:id="rId401" ref="K212"/>
    <hyperlink r:id="rId402" ref="L212"/>
    <hyperlink r:id="rId403" ref="K213"/>
    <hyperlink r:id="rId404" ref="L213"/>
    <hyperlink r:id="rId405" ref="L214"/>
    <hyperlink r:id="rId406" ref="K215"/>
    <hyperlink r:id="rId407" ref="L215"/>
    <hyperlink r:id="rId408" ref="K216"/>
    <hyperlink r:id="rId409" ref="L216"/>
    <hyperlink r:id="rId410" ref="K217"/>
    <hyperlink r:id="rId411" ref="L217"/>
    <hyperlink r:id="rId412" ref="K218"/>
    <hyperlink r:id="rId413" ref="L218"/>
    <hyperlink r:id="rId414" ref="K219"/>
    <hyperlink r:id="rId415" ref="L219"/>
    <hyperlink r:id="rId416" ref="K220"/>
    <hyperlink r:id="rId417" ref="L220"/>
    <hyperlink r:id="rId418" ref="L221"/>
    <hyperlink r:id="rId419" ref="AE221"/>
    <hyperlink r:id="rId420" ref="L222"/>
    <hyperlink r:id="rId421" ref="AE222"/>
    <hyperlink r:id="rId422" ref="K223"/>
    <hyperlink r:id="rId423" ref="L223"/>
    <hyperlink r:id="rId424" ref="L224"/>
    <hyperlink r:id="rId425" ref="L225"/>
    <hyperlink r:id="rId426" ref="L226"/>
    <hyperlink r:id="rId427" ref="K227"/>
    <hyperlink r:id="rId428" ref="L227"/>
    <hyperlink r:id="rId429" ref="L228"/>
    <hyperlink r:id="rId430" ref="K229"/>
    <hyperlink r:id="rId431" ref="L229"/>
    <hyperlink r:id="rId432" ref="K230"/>
    <hyperlink r:id="rId433" ref="L230"/>
    <hyperlink r:id="rId434" ref="K231"/>
    <hyperlink r:id="rId435" ref="L231"/>
    <hyperlink r:id="rId436" ref="K232"/>
    <hyperlink r:id="rId437" ref="L232"/>
    <hyperlink r:id="rId438" ref="K233"/>
    <hyperlink r:id="rId439" ref="L233"/>
    <hyperlink r:id="rId440" ref="K234"/>
    <hyperlink r:id="rId441" ref="L234"/>
    <hyperlink r:id="rId442" ref="K235"/>
    <hyperlink r:id="rId443" ref="L235"/>
    <hyperlink r:id="rId444" ref="L236"/>
    <hyperlink r:id="rId445" ref="K237"/>
    <hyperlink r:id="rId446" ref="L237"/>
    <hyperlink r:id="rId447" ref="K238"/>
    <hyperlink r:id="rId448" ref="L238"/>
    <hyperlink r:id="rId449" ref="K239"/>
    <hyperlink r:id="rId450" ref="L239"/>
    <hyperlink r:id="rId451" ref="K240"/>
    <hyperlink r:id="rId452" ref="L240"/>
    <hyperlink r:id="rId453" ref="K241"/>
    <hyperlink r:id="rId454" ref="L241"/>
    <hyperlink r:id="rId455" ref="L242"/>
    <hyperlink r:id="rId456" ref="K243"/>
    <hyperlink r:id="rId457" ref="L243"/>
    <hyperlink r:id="rId458" ref="K244"/>
    <hyperlink r:id="rId459" ref="L244"/>
    <hyperlink r:id="rId460" ref="K245"/>
    <hyperlink r:id="rId461" ref="L245"/>
    <hyperlink r:id="rId462" ref="K246"/>
    <hyperlink r:id="rId463" ref="L246"/>
    <hyperlink r:id="rId464" ref="K247"/>
    <hyperlink r:id="rId465" ref="L247"/>
    <hyperlink r:id="rId466" ref="K248"/>
    <hyperlink r:id="rId467" ref="L248"/>
    <hyperlink r:id="rId468" ref="K249"/>
    <hyperlink r:id="rId469" ref="L249"/>
    <hyperlink r:id="rId470" ref="K250"/>
    <hyperlink r:id="rId471" ref="L250"/>
    <hyperlink r:id="rId472" ref="K251"/>
    <hyperlink r:id="rId473" ref="L251"/>
    <hyperlink r:id="rId474" ref="K252"/>
    <hyperlink r:id="rId475" ref="L252"/>
    <hyperlink r:id="rId476" ref="K253"/>
    <hyperlink r:id="rId477" ref="L253"/>
    <hyperlink r:id="rId478" ref="K254"/>
    <hyperlink r:id="rId479" ref="L254"/>
    <hyperlink r:id="rId480" ref="K255"/>
    <hyperlink r:id="rId481" ref="L255"/>
    <hyperlink r:id="rId482" ref="L256"/>
    <hyperlink r:id="rId483" ref="K257"/>
    <hyperlink r:id="rId484" ref="L257"/>
    <hyperlink r:id="rId485" ref="K258"/>
    <hyperlink r:id="rId486" ref="L258"/>
    <hyperlink r:id="rId487" ref="K259"/>
    <hyperlink r:id="rId488" ref="L259"/>
    <hyperlink r:id="rId489" ref="K260"/>
    <hyperlink r:id="rId490" ref="L260"/>
    <hyperlink r:id="rId491" ref="K261"/>
    <hyperlink r:id="rId492" ref="L261"/>
    <hyperlink r:id="rId493" ref="K262"/>
    <hyperlink r:id="rId494" ref="L262"/>
    <hyperlink r:id="rId495" ref="K263"/>
    <hyperlink r:id="rId496" ref="L263"/>
    <hyperlink r:id="rId497" ref="K264"/>
    <hyperlink r:id="rId498" ref="L264"/>
    <hyperlink r:id="rId499" ref="K265"/>
    <hyperlink r:id="rId500" ref="L265"/>
    <hyperlink r:id="rId501" ref="K266"/>
    <hyperlink r:id="rId502" ref="L266"/>
    <hyperlink r:id="rId503" ref="L267"/>
    <hyperlink r:id="rId504" ref="K268"/>
    <hyperlink r:id="rId505" ref="L268"/>
    <hyperlink r:id="rId506" ref="K269"/>
    <hyperlink r:id="rId507" ref="L269"/>
    <hyperlink r:id="rId508" ref="K270"/>
    <hyperlink r:id="rId509" ref="L270"/>
    <hyperlink r:id="rId510" ref="K271"/>
    <hyperlink r:id="rId511" ref="L271"/>
    <hyperlink r:id="rId512" ref="K272"/>
    <hyperlink r:id="rId513" ref="L272"/>
    <hyperlink r:id="rId514" ref="K273"/>
    <hyperlink r:id="rId515" ref="L273"/>
    <hyperlink r:id="rId516" ref="L274"/>
    <hyperlink r:id="rId517" ref="K275"/>
    <hyperlink r:id="rId518" ref="L275"/>
    <hyperlink r:id="rId519" ref="L276"/>
    <hyperlink r:id="rId520" ref="L277"/>
    <hyperlink r:id="rId521" ref="K278"/>
    <hyperlink r:id="rId522" ref="L278"/>
    <hyperlink r:id="rId523" ref="K279"/>
    <hyperlink r:id="rId524" ref="L279"/>
    <hyperlink r:id="rId525" ref="K280"/>
    <hyperlink r:id="rId526" ref="L280"/>
    <hyperlink r:id="rId527" location="summary" ref="L281"/>
    <hyperlink r:id="rId528" ref="K282"/>
    <hyperlink r:id="rId529" ref="L282"/>
    <hyperlink r:id="rId530" ref="K283"/>
    <hyperlink r:id="rId531" ref="L283"/>
    <hyperlink r:id="rId532" ref="K284"/>
    <hyperlink r:id="rId533" ref="L284"/>
    <hyperlink r:id="rId534" ref="K285"/>
    <hyperlink r:id="rId535" ref="L285"/>
    <hyperlink r:id="rId536" ref="K286"/>
    <hyperlink r:id="rId537" ref="L286"/>
    <hyperlink r:id="rId538" ref="K287"/>
    <hyperlink r:id="rId539" ref="L287"/>
    <hyperlink r:id="rId540" ref="L288"/>
    <hyperlink r:id="rId541" ref="L289"/>
    <hyperlink r:id="rId542" ref="K290"/>
    <hyperlink r:id="rId543" ref="L290"/>
    <hyperlink r:id="rId544" ref="K291"/>
    <hyperlink r:id="rId545" ref="L291"/>
    <hyperlink r:id="rId546" ref="K292"/>
    <hyperlink r:id="rId547" ref="L292"/>
    <hyperlink r:id="rId548" ref="L293"/>
    <hyperlink r:id="rId549" ref="L294"/>
    <hyperlink r:id="rId550" ref="K295"/>
    <hyperlink r:id="rId551" ref="L295"/>
    <hyperlink r:id="rId552" ref="L296"/>
    <hyperlink r:id="rId553" ref="K297"/>
    <hyperlink r:id="rId554" ref="L297"/>
    <hyperlink r:id="rId555" ref="K298"/>
    <hyperlink r:id="rId556" ref="L298"/>
    <hyperlink r:id="rId557" ref="K299"/>
    <hyperlink r:id="rId558" ref="L299"/>
    <hyperlink r:id="rId559" ref="K300"/>
    <hyperlink r:id="rId560" ref="L300"/>
    <hyperlink r:id="rId561" ref="K301"/>
    <hyperlink r:id="rId562" ref="L301"/>
    <hyperlink r:id="rId563" ref="K302"/>
    <hyperlink r:id="rId564" ref="L302"/>
    <hyperlink r:id="rId565" ref="K303"/>
    <hyperlink r:id="rId566" ref="L303"/>
    <hyperlink r:id="rId567" ref="K304"/>
    <hyperlink r:id="rId568" ref="L304"/>
    <hyperlink r:id="rId569" ref="K305"/>
    <hyperlink r:id="rId570" ref="L305"/>
    <hyperlink r:id="rId571" ref="K306"/>
    <hyperlink r:id="rId572" ref="L306"/>
    <hyperlink r:id="rId573" ref="K307"/>
    <hyperlink r:id="rId574" ref="L307"/>
    <hyperlink r:id="rId575" ref="K308"/>
    <hyperlink r:id="rId576" ref="L308"/>
    <hyperlink r:id="rId577" ref="K309"/>
    <hyperlink r:id="rId578" ref="L309"/>
    <hyperlink r:id="rId579" ref="K310"/>
    <hyperlink r:id="rId580" ref="L310"/>
    <hyperlink r:id="rId581" ref="K311"/>
    <hyperlink r:id="rId582" ref="L311"/>
    <hyperlink r:id="rId583" ref="K312"/>
    <hyperlink r:id="rId584" ref="L312"/>
    <hyperlink r:id="rId585" ref="K313"/>
    <hyperlink r:id="rId586" ref="L313"/>
    <hyperlink r:id="rId587" ref="K314"/>
    <hyperlink r:id="rId588" ref="L314"/>
    <hyperlink r:id="rId589" ref="K315"/>
    <hyperlink r:id="rId590" ref="L315"/>
    <hyperlink r:id="rId591" ref="K316"/>
    <hyperlink r:id="rId592" ref="L316"/>
    <hyperlink r:id="rId593" ref="K317"/>
    <hyperlink r:id="rId594" ref="L317"/>
    <hyperlink r:id="rId595" ref="K318"/>
    <hyperlink r:id="rId596" ref="L318"/>
    <hyperlink r:id="rId597" ref="K319"/>
    <hyperlink r:id="rId598" ref="L319"/>
    <hyperlink r:id="rId599" ref="K320"/>
    <hyperlink r:id="rId600" ref="L320"/>
    <hyperlink r:id="rId601" ref="K321"/>
    <hyperlink r:id="rId602" ref="L321"/>
    <hyperlink r:id="rId603" ref="AE321"/>
    <hyperlink r:id="rId604" ref="K322"/>
    <hyperlink r:id="rId605" ref="L322"/>
    <hyperlink r:id="rId606" ref="L323"/>
    <hyperlink r:id="rId607" ref="K324"/>
    <hyperlink r:id="rId608" ref="L324"/>
    <hyperlink r:id="rId609" ref="K325"/>
    <hyperlink r:id="rId610" ref="L325"/>
    <hyperlink r:id="rId611" ref="K326"/>
    <hyperlink r:id="rId612" ref="L326"/>
    <hyperlink r:id="rId613" ref="K327"/>
    <hyperlink r:id="rId614" ref="L327"/>
    <hyperlink r:id="rId615" ref="L328"/>
    <hyperlink r:id="rId616" ref="L329"/>
    <hyperlink r:id="rId617" ref="L330"/>
    <hyperlink r:id="rId618" ref="L331"/>
    <hyperlink r:id="rId619" ref="K332"/>
    <hyperlink r:id="rId620" ref="L332"/>
    <hyperlink r:id="rId621" ref="K333"/>
    <hyperlink r:id="rId622" ref="L333"/>
    <hyperlink r:id="rId623" ref="K334"/>
    <hyperlink r:id="rId624" ref="L334"/>
    <hyperlink r:id="rId625" ref="K335"/>
    <hyperlink r:id="rId626" ref="L335"/>
    <hyperlink r:id="rId627" ref="K336"/>
    <hyperlink r:id="rId628" ref="L336"/>
    <hyperlink r:id="rId629" ref="L337"/>
    <hyperlink r:id="rId630" ref="K338"/>
    <hyperlink r:id="rId631" ref="L338"/>
    <hyperlink r:id="rId632" ref="K339"/>
    <hyperlink r:id="rId633" ref="L339"/>
    <hyperlink r:id="rId634" ref="L340"/>
    <hyperlink r:id="rId635" ref="L341"/>
    <hyperlink r:id="rId636" ref="K342"/>
    <hyperlink r:id="rId637" ref="L342"/>
    <hyperlink r:id="rId638" ref="K343"/>
    <hyperlink r:id="rId639" ref="L343"/>
    <hyperlink r:id="rId640" ref="K344"/>
    <hyperlink r:id="rId641" ref="L344"/>
    <hyperlink r:id="rId642" ref="K345"/>
    <hyperlink r:id="rId643" ref="L345"/>
    <hyperlink r:id="rId644" ref="L346"/>
    <hyperlink r:id="rId645" ref="K347"/>
    <hyperlink r:id="rId646" ref="L347"/>
    <hyperlink r:id="rId647" ref="K348"/>
    <hyperlink r:id="rId648" ref="L348"/>
    <hyperlink r:id="rId649" ref="L349"/>
    <hyperlink r:id="rId650" ref="K350"/>
    <hyperlink r:id="rId651" ref="L350"/>
    <hyperlink r:id="rId652" ref="L351"/>
    <hyperlink r:id="rId653" ref="L352"/>
    <hyperlink r:id="rId654" ref="K353"/>
    <hyperlink r:id="rId655" ref="L353"/>
    <hyperlink r:id="rId656" ref="L354"/>
    <hyperlink r:id="rId657" ref="K355"/>
    <hyperlink r:id="rId658" ref="L355"/>
    <hyperlink r:id="rId659" ref="K356"/>
    <hyperlink r:id="rId660" ref="L356"/>
    <hyperlink r:id="rId661" ref="K357"/>
    <hyperlink r:id="rId662" ref="L357"/>
    <hyperlink r:id="rId663" ref="K358"/>
    <hyperlink r:id="rId664" ref="L358"/>
    <hyperlink r:id="rId665" ref="K359"/>
    <hyperlink r:id="rId666" ref="L359"/>
    <hyperlink r:id="rId667" ref="L360"/>
    <hyperlink r:id="rId668" ref="L361"/>
    <hyperlink r:id="rId669" ref="L362"/>
    <hyperlink r:id="rId670" ref="K363"/>
    <hyperlink r:id="rId671" ref="L363"/>
    <hyperlink r:id="rId672" ref="K364"/>
    <hyperlink r:id="rId673" ref="L364"/>
    <hyperlink r:id="rId674" ref="K365"/>
    <hyperlink r:id="rId675" ref="L365"/>
    <hyperlink r:id="rId676" ref="K366"/>
    <hyperlink r:id="rId677" ref="L366"/>
    <hyperlink r:id="rId678" ref="K367"/>
    <hyperlink r:id="rId679" ref="L367"/>
    <hyperlink r:id="rId680" ref="K368"/>
    <hyperlink r:id="rId681" ref="L368"/>
    <hyperlink r:id="rId682" ref="K369"/>
    <hyperlink r:id="rId683" ref="L369"/>
    <hyperlink r:id="rId684" ref="K370"/>
    <hyperlink r:id="rId685" ref="L370"/>
    <hyperlink r:id="rId686" ref="K371"/>
    <hyperlink r:id="rId687" ref="L371"/>
    <hyperlink r:id="rId688" ref="K372"/>
    <hyperlink r:id="rId689" ref="L372"/>
    <hyperlink r:id="rId690" ref="K373"/>
    <hyperlink r:id="rId691" ref="L373"/>
    <hyperlink r:id="rId692" ref="K374"/>
    <hyperlink r:id="rId693" ref="L374"/>
    <hyperlink r:id="rId694" ref="K375"/>
    <hyperlink r:id="rId695" ref="L375"/>
    <hyperlink r:id="rId696" ref="K376"/>
    <hyperlink r:id="rId697" ref="L376"/>
    <hyperlink r:id="rId698" ref="K377"/>
    <hyperlink r:id="rId699" ref="L377"/>
    <hyperlink r:id="rId700" ref="K378"/>
    <hyperlink r:id="rId701" ref="L378"/>
    <hyperlink r:id="rId702" ref="K379"/>
    <hyperlink r:id="rId703" ref="L379"/>
    <hyperlink r:id="rId704" ref="K380"/>
    <hyperlink r:id="rId705" ref="L380"/>
    <hyperlink r:id="rId706" ref="K381"/>
    <hyperlink r:id="rId707" ref="L381"/>
    <hyperlink r:id="rId708" ref="AE381"/>
    <hyperlink r:id="rId709" ref="K382"/>
    <hyperlink r:id="rId710" ref="L382"/>
    <hyperlink r:id="rId711" ref="K383"/>
    <hyperlink r:id="rId712" ref="L383"/>
    <hyperlink r:id="rId713" ref="K384"/>
    <hyperlink r:id="rId714" ref="L384"/>
    <hyperlink r:id="rId715" ref="K385"/>
    <hyperlink r:id="rId716" ref="L385"/>
    <hyperlink r:id="rId717" ref="K386"/>
    <hyperlink r:id="rId718" ref="L386"/>
    <hyperlink r:id="rId719" ref="K387"/>
    <hyperlink r:id="rId720" ref="L387"/>
    <hyperlink r:id="rId721" ref="K388"/>
    <hyperlink r:id="rId722" ref="L388"/>
    <hyperlink r:id="rId723" ref="AE388"/>
    <hyperlink r:id="rId724" ref="K389"/>
    <hyperlink r:id="rId725" ref="L389"/>
    <hyperlink r:id="rId726" ref="K390"/>
    <hyperlink r:id="rId727" ref="L390"/>
    <hyperlink r:id="rId728" ref="AE390"/>
    <hyperlink r:id="rId729" ref="K391"/>
    <hyperlink r:id="rId730" ref="L391"/>
    <hyperlink r:id="rId731" ref="K392"/>
    <hyperlink r:id="rId732" ref="L392"/>
    <hyperlink r:id="rId733" ref="AE392"/>
    <hyperlink r:id="rId734" ref="K393"/>
    <hyperlink r:id="rId735" ref="L393"/>
    <hyperlink r:id="rId736" ref="K394"/>
    <hyperlink r:id="rId737" ref="L394"/>
    <hyperlink r:id="rId738" ref="AE394"/>
    <hyperlink r:id="rId739" ref="L395"/>
    <hyperlink r:id="rId740" ref="K396"/>
    <hyperlink r:id="rId741" ref="L396"/>
    <hyperlink r:id="rId742" ref="AE396"/>
    <hyperlink r:id="rId743" ref="K397"/>
    <hyperlink r:id="rId744" ref="L397"/>
    <hyperlink r:id="rId745" ref="AE397"/>
    <hyperlink r:id="rId746" ref="K398"/>
    <hyperlink r:id="rId747" ref="L398"/>
    <hyperlink r:id="rId748" ref="K399"/>
    <hyperlink r:id="rId749" ref="L399"/>
    <hyperlink r:id="rId750" ref="K400"/>
    <hyperlink r:id="rId751" ref="L400"/>
    <hyperlink r:id="rId752" ref="K401"/>
    <hyperlink r:id="rId753" ref="L401"/>
    <hyperlink r:id="rId754" ref="K402"/>
    <hyperlink r:id="rId755" ref="L402"/>
    <hyperlink r:id="rId756" ref="K403"/>
    <hyperlink r:id="rId757" ref="L403"/>
    <hyperlink r:id="rId758" ref="K404"/>
    <hyperlink r:id="rId759" ref="L404"/>
    <hyperlink r:id="rId760" ref="AE404"/>
    <hyperlink r:id="rId761" ref="K405"/>
    <hyperlink r:id="rId762" ref="L405"/>
    <hyperlink r:id="rId763" ref="K406"/>
    <hyperlink r:id="rId764" ref="L406"/>
    <hyperlink r:id="rId765" ref="K407"/>
    <hyperlink r:id="rId766" ref="L407"/>
    <hyperlink r:id="rId767" ref="AE407"/>
    <hyperlink r:id="rId768" ref="K408"/>
    <hyperlink r:id="rId769" ref="L408"/>
    <hyperlink r:id="rId770" ref="AE408"/>
    <hyperlink r:id="rId771" ref="L409"/>
    <hyperlink r:id="rId772" ref="F410"/>
    <hyperlink r:id="rId773" ref="K410"/>
    <hyperlink r:id="rId774" ref="L410"/>
    <hyperlink r:id="rId775" ref="L411"/>
    <hyperlink r:id="rId776" ref="F412"/>
    <hyperlink r:id="rId777" ref="K412"/>
    <hyperlink r:id="rId778" ref="L412"/>
    <hyperlink r:id="rId779" ref="L413"/>
    <hyperlink r:id="rId780" ref="K414"/>
    <hyperlink r:id="rId781" ref="L414"/>
    <hyperlink r:id="rId782" ref="K415"/>
    <hyperlink r:id="rId783" ref="L415"/>
    <hyperlink r:id="rId784" ref="AE415"/>
    <hyperlink r:id="rId785" ref="K416"/>
    <hyperlink r:id="rId786" ref="L416"/>
    <hyperlink r:id="rId787" ref="K417"/>
    <hyperlink r:id="rId788" ref="L417"/>
    <hyperlink r:id="rId789" ref="K418"/>
    <hyperlink r:id="rId790" ref="L418"/>
    <hyperlink r:id="rId791" ref="K419"/>
    <hyperlink r:id="rId792" ref="L419"/>
    <hyperlink r:id="rId793" ref="K420"/>
    <hyperlink r:id="rId794" ref="L420"/>
    <hyperlink r:id="rId795" ref="L421"/>
    <hyperlink r:id="rId796" ref="L422"/>
    <hyperlink r:id="rId797" ref="F423"/>
    <hyperlink r:id="rId798" ref="K423"/>
    <hyperlink r:id="rId799" ref="L423"/>
    <hyperlink r:id="rId800" ref="L424"/>
    <hyperlink r:id="rId801" ref="F425"/>
    <hyperlink r:id="rId802" ref="K425"/>
    <hyperlink r:id="rId803" ref="L425"/>
    <hyperlink r:id="rId804" ref="K426"/>
    <hyperlink r:id="rId805" ref="L426"/>
    <hyperlink r:id="rId806" ref="K427"/>
    <hyperlink r:id="rId807" ref="L427"/>
    <hyperlink r:id="rId808" ref="K428"/>
    <hyperlink r:id="rId809" ref="L428"/>
    <hyperlink r:id="rId810" ref="K429"/>
    <hyperlink r:id="rId811" ref="L429"/>
    <hyperlink r:id="rId812" ref="AE429"/>
    <hyperlink r:id="rId813" ref="AF429"/>
    <hyperlink r:id="rId814" ref="L430"/>
    <hyperlink r:id="rId815" ref="AE430"/>
    <hyperlink r:id="rId816" ref="AF430"/>
    <hyperlink r:id="rId817" ref="K431"/>
    <hyperlink r:id="rId818" ref="L431"/>
    <hyperlink r:id="rId819" ref="K432"/>
    <hyperlink r:id="rId820" ref="L432"/>
    <hyperlink r:id="rId821" ref="K433"/>
    <hyperlink r:id="rId822" ref="L433"/>
    <hyperlink r:id="rId823" ref="L434"/>
    <hyperlink r:id="rId824" ref="K435"/>
    <hyperlink r:id="rId825" ref="L435"/>
    <hyperlink r:id="rId826" ref="K436"/>
    <hyperlink r:id="rId827" ref="L436"/>
    <hyperlink r:id="rId828" ref="K437"/>
    <hyperlink r:id="rId829" ref="L437"/>
    <hyperlink r:id="rId830" ref="K438"/>
    <hyperlink r:id="rId831" ref="L438"/>
    <hyperlink r:id="rId832" ref="L439"/>
    <hyperlink r:id="rId833" ref="L440"/>
    <hyperlink r:id="rId834" ref="L441"/>
    <hyperlink r:id="rId835" ref="K442"/>
    <hyperlink r:id="rId836" ref="L442"/>
    <hyperlink r:id="rId837" ref="K443"/>
    <hyperlink r:id="rId838" ref="L443"/>
    <hyperlink r:id="rId839" ref="K444"/>
    <hyperlink r:id="rId840" ref="L444"/>
    <hyperlink r:id="rId841" ref="K445"/>
    <hyperlink r:id="rId842" ref="L445"/>
    <hyperlink r:id="rId843" ref="K446"/>
    <hyperlink r:id="rId844" ref="L446"/>
    <hyperlink r:id="rId845" ref="K447"/>
    <hyperlink r:id="rId846" ref="L447"/>
    <hyperlink r:id="rId847" ref="K448"/>
    <hyperlink r:id="rId848" ref="L448"/>
    <hyperlink r:id="rId849" ref="K449"/>
    <hyperlink r:id="rId850" ref="L449"/>
    <hyperlink r:id="rId851" ref="K450"/>
    <hyperlink r:id="rId852" ref="L450"/>
    <hyperlink r:id="rId853" ref="K451"/>
    <hyperlink r:id="rId854" ref="L451"/>
    <hyperlink r:id="rId855" ref="K452"/>
    <hyperlink r:id="rId856" ref="L452"/>
    <hyperlink r:id="rId857" ref="K453"/>
    <hyperlink r:id="rId858" ref="L453"/>
    <hyperlink r:id="rId859" ref="K454"/>
    <hyperlink r:id="rId860" ref="L454"/>
    <hyperlink r:id="rId861" ref="K455"/>
    <hyperlink r:id="rId862" ref="L455"/>
    <hyperlink r:id="rId863" ref="K456"/>
    <hyperlink r:id="rId864" ref="L456"/>
    <hyperlink r:id="rId865" ref="K457"/>
    <hyperlink r:id="rId866" ref="L457"/>
    <hyperlink r:id="rId867" ref="K458"/>
    <hyperlink r:id="rId868" ref="L458"/>
    <hyperlink r:id="rId869" ref="K459"/>
    <hyperlink r:id="rId870" ref="L459"/>
    <hyperlink r:id="rId871" ref="K460"/>
    <hyperlink r:id="rId872" ref="L460"/>
    <hyperlink r:id="rId873" ref="K461"/>
    <hyperlink r:id="rId874" ref="L461"/>
    <hyperlink r:id="rId875" ref="K462"/>
    <hyperlink r:id="rId876" ref="L462"/>
    <hyperlink r:id="rId877" ref="K463"/>
    <hyperlink r:id="rId878" ref="L463"/>
    <hyperlink r:id="rId879" ref="K464"/>
    <hyperlink r:id="rId880" ref="L464"/>
    <hyperlink r:id="rId881" ref="K465"/>
    <hyperlink r:id="rId882" ref="L465"/>
    <hyperlink r:id="rId883" ref="K466"/>
    <hyperlink r:id="rId884" ref="L466"/>
    <hyperlink r:id="rId885" ref="K467"/>
    <hyperlink r:id="rId886" ref="L467"/>
    <hyperlink r:id="rId887" ref="K468"/>
    <hyperlink r:id="rId888" ref="L468"/>
    <hyperlink r:id="rId889" ref="K469"/>
    <hyperlink r:id="rId890" ref="L469"/>
    <hyperlink r:id="rId891" ref="K470"/>
    <hyperlink r:id="rId892" ref="L470"/>
    <hyperlink r:id="rId893" ref="AE470"/>
    <hyperlink r:id="rId894" ref="AF470"/>
    <hyperlink r:id="rId895" ref="K471"/>
    <hyperlink r:id="rId896" ref="L471"/>
    <hyperlink r:id="rId897" location="/products/105418" ref="AE471"/>
    <hyperlink r:id="rId898" ref="K472"/>
    <hyperlink r:id="rId899" ref="L472"/>
    <hyperlink r:id="rId900" ref="AE472"/>
    <hyperlink r:id="rId901" ref="K473"/>
    <hyperlink r:id="rId902" ref="L473"/>
    <hyperlink r:id="rId903" ref="AE473"/>
    <hyperlink r:id="rId904" ref="K474"/>
    <hyperlink r:id="rId905" ref="L474"/>
    <hyperlink r:id="rId906" ref="AE474"/>
    <hyperlink r:id="rId907" ref="L475"/>
    <hyperlink r:id="rId908" ref="AE475"/>
    <hyperlink r:id="rId909" ref="K476"/>
    <hyperlink r:id="rId910" ref="L476"/>
    <hyperlink r:id="rId911" ref="AE476"/>
    <hyperlink r:id="rId912" ref="K477"/>
    <hyperlink r:id="rId913" ref="L477"/>
    <hyperlink r:id="rId914" ref="AE477"/>
    <hyperlink r:id="rId915" ref="K478"/>
    <hyperlink r:id="rId916" ref="L478"/>
    <hyperlink r:id="rId917" ref="AE478"/>
    <hyperlink r:id="rId918" ref="K479"/>
    <hyperlink r:id="rId919" ref="L479"/>
    <hyperlink r:id="rId920" ref="AE479"/>
    <hyperlink r:id="rId921" ref="L480"/>
    <hyperlink r:id="rId922" ref="K481"/>
    <hyperlink r:id="rId923" ref="L481"/>
    <hyperlink r:id="rId924" ref="K482"/>
    <hyperlink r:id="rId925" ref="L482"/>
    <hyperlink r:id="rId926" ref="AE482"/>
    <hyperlink r:id="rId927" ref="K483"/>
    <hyperlink r:id="rId928" ref="L483"/>
    <hyperlink r:id="rId929" ref="AE483"/>
    <hyperlink r:id="rId930" ref="K484"/>
    <hyperlink r:id="rId931" ref="L484"/>
    <hyperlink r:id="rId932" ref="AE484"/>
    <hyperlink r:id="rId933" ref="F485"/>
    <hyperlink r:id="rId934" ref="K485"/>
    <hyperlink r:id="rId935" ref="L485"/>
    <hyperlink r:id="rId936" ref="AE485"/>
    <hyperlink r:id="rId937" ref="K486"/>
    <hyperlink r:id="rId938" ref="L486"/>
    <hyperlink r:id="rId939" ref="AE486"/>
    <hyperlink r:id="rId940" ref="K487"/>
    <hyperlink r:id="rId941" ref="L487"/>
    <hyperlink r:id="rId942" ref="AE487"/>
    <hyperlink r:id="rId943" ref="K488"/>
    <hyperlink r:id="rId944" ref="L488"/>
    <hyperlink r:id="rId945" ref="AE488"/>
    <hyperlink r:id="rId946" ref="F489"/>
    <hyperlink r:id="rId947" ref="K489"/>
    <hyperlink r:id="rId948" ref="L489"/>
    <hyperlink r:id="rId949" ref="AB489"/>
    <hyperlink r:id="rId950" ref="AE489"/>
    <hyperlink r:id="rId951" ref="K490"/>
    <hyperlink r:id="rId952" ref="L490"/>
    <hyperlink r:id="rId953" ref="AE490"/>
    <hyperlink r:id="rId954" ref="K491"/>
    <hyperlink r:id="rId955" ref="L491"/>
    <hyperlink r:id="rId956" ref="AE491"/>
    <hyperlink r:id="rId957" ref="K492"/>
    <hyperlink r:id="rId958" ref="L492"/>
    <hyperlink r:id="rId959" ref="AE492"/>
    <hyperlink r:id="rId960" ref="K493"/>
    <hyperlink r:id="rId961" ref="L493"/>
    <hyperlink r:id="rId962" ref="AE493"/>
    <hyperlink r:id="rId963" ref="K494"/>
    <hyperlink r:id="rId964" ref="L494"/>
    <hyperlink r:id="rId965" ref="K495"/>
    <hyperlink r:id="rId966" ref="L495"/>
    <hyperlink r:id="rId967" ref="AE495"/>
    <hyperlink r:id="rId968" ref="K496"/>
    <hyperlink r:id="rId969" ref="L496"/>
    <hyperlink r:id="rId970" ref="AE496"/>
    <hyperlink r:id="rId971" ref="K497"/>
    <hyperlink r:id="rId972" ref="L497"/>
    <hyperlink r:id="rId973" ref="AE497"/>
    <hyperlink r:id="rId974" ref="K498"/>
    <hyperlink r:id="rId975" ref="L498"/>
    <hyperlink r:id="rId976" ref="AE498"/>
    <hyperlink r:id="rId977" ref="K499"/>
    <hyperlink r:id="rId978" ref="L499"/>
    <hyperlink r:id="rId979" ref="K500"/>
    <hyperlink r:id="rId980" ref="L500"/>
    <hyperlink r:id="rId981" ref="K501"/>
    <hyperlink r:id="rId982" ref="L501"/>
    <hyperlink r:id="rId983" ref="AE501"/>
    <hyperlink r:id="rId984" ref="K502"/>
    <hyperlink r:id="rId985" ref="L502"/>
    <hyperlink r:id="rId986" ref="K503"/>
    <hyperlink r:id="rId987" ref="L503"/>
    <hyperlink r:id="rId988" ref="K504"/>
    <hyperlink r:id="rId989" ref="L504"/>
    <hyperlink r:id="rId990" ref="K505"/>
    <hyperlink r:id="rId991" ref="L505"/>
    <hyperlink r:id="rId992" ref="K506"/>
    <hyperlink r:id="rId993" ref="L506"/>
    <hyperlink r:id="rId994" ref="K507"/>
    <hyperlink r:id="rId995" ref="L507"/>
    <hyperlink r:id="rId996" ref="AE507"/>
    <hyperlink r:id="rId997" ref="K508"/>
    <hyperlink r:id="rId998" ref="L508"/>
    <hyperlink r:id="rId999" ref="AE508"/>
    <hyperlink r:id="rId1000" ref="K509"/>
    <hyperlink r:id="rId1001" ref="L509"/>
    <hyperlink r:id="rId1002" ref="AE509"/>
    <hyperlink r:id="rId1003" ref="K510"/>
    <hyperlink r:id="rId1004" ref="L510"/>
    <hyperlink r:id="rId1005" ref="K511"/>
    <hyperlink r:id="rId1006" ref="L511"/>
    <hyperlink r:id="rId1007" ref="K512"/>
    <hyperlink r:id="rId1008" ref="L512"/>
    <hyperlink r:id="rId1009" ref="K513"/>
    <hyperlink r:id="rId1010" ref="L513"/>
    <hyperlink r:id="rId1011" ref="AE513"/>
    <hyperlink r:id="rId1012" ref="K514"/>
    <hyperlink r:id="rId1013" ref="L514"/>
    <hyperlink r:id="rId1014" ref="AE514"/>
    <hyperlink r:id="rId1015" ref="K515"/>
    <hyperlink r:id="rId1016" ref="L515"/>
    <hyperlink r:id="rId1017" ref="K516"/>
    <hyperlink r:id="rId1018" ref="L516"/>
    <hyperlink r:id="rId1019" ref="K517"/>
    <hyperlink r:id="rId1020" ref="L517"/>
    <hyperlink r:id="rId1021" ref="AE517"/>
    <hyperlink r:id="rId1022" ref="K518"/>
    <hyperlink r:id="rId1023" ref="L518"/>
    <hyperlink r:id="rId1024" ref="K519"/>
    <hyperlink r:id="rId1025" ref="L519"/>
    <hyperlink r:id="rId1026" ref="AE519"/>
    <hyperlink r:id="rId1027" ref="K520"/>
    <hyperlink r:id="rId1028" ref="L520"/>
    <hyperlink r:id="rId1029" ref="K521"/>
    <hyperlink r:id="rId1030" ref="L521"/>
    <hyperlink r:id="rId1031" ref="AE521"/>
    <hyperlink r:id="rId1032" ref="K522"/>
    <hyperlink r:id="rId1033" ref="L522"/>
    <hyperlink r:id="rId1034" ref="K523"/>
    <hyperlink r:id="rId1035" ref="L523"/>
    <hyperlink r:id="rId1036" ref="AE523"/>
    <hyperlink r:id="rId1037" ref="K524"/>
    <hyperlink r:id="rId1038" ref="L524"/>
    <hyperlink r:id="rId1039" ref="K525"/>
    <hyperlink r:id="rId1040" ref="L525"/>
    <hyperlink r:id="rId1041" ref="K526"/>
    <hyperlink r:id="rId1042" ref="L526"/>
    <hyperlink r:id="rId1043" ref="K527"/>
    <hyperlink r:id="rId1044" ref="L527"/>
    <hyperlink r:id="rId1045" ref="AE527"/>
    <hyperlink r:id="rId1046" ref="K528"/>
    <hyperlink r:id="rId1047" ref="L528"/>
    <hyperlink r:id="rId1048" ref="AE528"/>
    <hyperlink r:id="rId1049" ref="K529"/>
    <hyperlink r:id="rId1050" ref="L529"/>
    <hyperlink r:id="rId1051" ref="AE529"/>
    <hyperlink r:id="rId1052" ref="K530"/>
    <hyperlink r:id="rId1053" ref="L530"/>
    <hyperlink r:id="rId1054" ref="AE530"/>
    <hyperlink r:id="rId1055" ref="K531"/>
    <hyperlink r:id="rId1056" ref="L531"/>
    <hyperlink r:id="rId1057" ref="AE531"/>
    <hyperlink r:id="rId1058" ref="K532"/>
    <hyperlink r:id="rId1059" ref="L532"/>
    <hyperlink r:id="rId1060" ref="AE532"/>
    <hyperlink r:id="rId1061" ref="K533"/>
    <hyperlink r:id="rId1062" ref="L533"/>
    <hyperlink r:id="rId1063" ref="AE533"/>
    <hyperlink r:id="rId1064" ref="K534"/>
    <hyperlink r:id="rId1065" ref="L534"/>
    <hyperlink r:id="rId1066" ref="AE534"/>
    <hyperlink r:id="rId1067" ref="K535"/>
    <hyperlink r:id="rId1068" ref="L535"/>
    <hyperlink r:id="rId1069" ref="AE535"/>
    <hyperlink r:id="rId1070" ref="L536"/>
    <hyperlink r:id="rId1071" ref="AE536"/>
    <hyperlink r:id="rId1072" ref="K537"/>
    <hyperlink r:id="rId1073" ref="L537"/>
    <hyperlink r:id="rId1074" ref="K538"/>
    <hyperlink r:id="rId1075" ref="L538"/>
    <hyperlink r:id="rId1076" ref="K539"/>
    <hyperlink r:id="rId1077" ref="L539"/>
    <hyperlink r:id="rId1078" ref="AE539"/>
    <hyperlink r:id="rId1079" ref="K540"/>
    <hyperlink r:id="rId1080" ref="L540"/>
    <hyperlink r:id="rId1081" ref="AE540"/>
    <hyperlink r:id="rId1082" ref="AF540"/>
    <hyperlink r:id="rId1083" ref="K541"/>
    <hyperlink r:id="rId1084" ref="L541"/>
    <hyperlink r:id="rId1085" ref="AE541"/>
    <hyperlink r:id="rId1086" ref="AF541"/>
    <hyperlink r:id="rId1087" ref="K542"/>
    <hyperlink r:id="rId1088" ref="L542"/>
    <hyperlink r:id="rId1089" ref="AE542"/>
    <hyperlink r:id="rId1090" ref="AF542"/>
    <hyperlink r:id="rId1091" ref="K543"/>
    <hyperlink r:id="rId1092" ref="L543"/>
    <hyperlink r:id="rId1093" ref="AE543"/>
    <hyperlink r:id="rId1094" ref="AF543"/>
    <hyperlink r:id="rId1095" ref="K544"/>
    <hyperlink r:id="rId1096" ref="L544"/>
    <hyperlink r:id="rId1097" ref="AE544"/>
    <hyperlink r:id="rId1098" ref="AF544"/>
    <hyperlink r:id="rId1099" ref="K545"/>
    <hyperlink r:id="rId1100" ref="L545"/>
    <hyperlink r:id="rId1101" ref="AE545"/>
    <hyperlink r:id="rId1102" ref="AF545"/>
    <hyperlink r:id="rId1103" ref="K546"/>
    <hyperlink r:id="rId1104" ref="L546"/>
    <hyperlink r:id="rId1105" ref="AE546"/>
    <hyperlink r:id="rId1106" ref="AF546"/>
    <hyperlink r:id="rId1107" ref="K547"/>
    <hyperlink r:id="rId1108" ref="L547"/>
    <hyperlink r:id="rId1109" ref="AE547"/>
    <hyperlink r:id="rId1110" ref="K548"/>
    <hyperlink r:id="rId1111" ref="L548"/>
    <hyperlink r:id="rId1112" ref="K549"/>
    <hyperlink r:id="rId1113" ref="L549"/>
    <hyperlink r:id="rId1114" ref="K550"/>
    <hyperlink r:id="rId1115" ref="L550"/>
    <hyperlink r:id="rId1116" ref="AE550"/>
    <hyperlink r:id="rId1117" ref="AF550"/>
    <hyperlink r:id="rId1118" ref="K551"/>
    <hyperlink r:id="rId1119" ref="L551"/>
    <hyperlink r:id="rId1120" ref="AE551"/>
    <hyperlink r:id="rId1121" ref="AF551"/>
    <hyperlink r:id="rId1122" ref="K552"/>
    <hyperlink r:id="rId1123" ref="L552"/>
    <hyperlink r:id="rId1124" ref="AE552"/>
    <hyperlink r:id="rId1125" ref="AF552"/>
    <hyperlink r:id="rId1126" ref="K553"/>
    <hyperlink r:id="rId1127" ref="L553"/>
    <hyperlink r:id="rId1128" ref="K554"/>
    <hyperlink r:id="rId1129" ref="L554"/>
    <hyperlink r:id="rId1130" ref="K555"/>
    <hyperlink r:id="rId1131" ref="L555"/>
    <hyperlink r:id="rId1132" ref="AE555"/>
    <hyperlink r:id="rId1133" ref="K556"/>
    <hyperlink r:id="rId1134" ref="L556"/>
    <hyperlink r:id="rId1135" ref="AE556"/>
    <hyperlink r:id="rId1136" ref="K557"/>
    <hyperlink r:id="rId1137" ref="L557"/>
    <hyperlink r:id="rId1138" ref="AE557"/>
    <hyperlink r:id="rId1139" ref="K558"/>
    <hyperlink r:id="rId1140" location="ne4" ref="L558"/>
    <hyperlink r:id="rId1141" ref="AE558"/>
    <hyperlink r:id="rId1142" ref="K559"/>
    <hyperlink r:id="rId1143" location="ne4" ref="L559"/>
    <hyperlink r:id="rId1144" ref="AE559"/>
    <hyperlink r:id="rId1145" ref="K560"/>
    <hyperlink r:id="rId1146" ref="L560"/>
    <hyperlink r:id="rId1147" ref="AE560"/>
    <hyperlink r:id="rId1148" ref="K561"/>
    <hyperlink r:id="rId1149" ref="L561"/>
    <hyperlink r:id="rId1150" ref="AE561"/>
    <hyperlink r:id="rId1151" ref="K562"/>
    <hyperlink r:id="rId1152" ref="L562"/>
    <hyperlink r:id="rId1153" ref="K563"/>
    <hyperlink r:id="rId1154" ref="L563"/>
    <hyperlink r:id="rId1155" ref="K564"/>
    <hyperlink r:id="rId1156" ref="L564"/>
    <hyperlink r:id="rId1157" ref="K565"/>
    <hyperlink r:id="rId1158" ref="L565"/>
    <hyperlink r:id="rId1159" ref="AE565"/>
    <hyperlink r:id="rId1160" ref="K566"/>
    <hyperlink r:id="rId1161" ref="L566"/>
    <hyperlink r:id="rId1162" ref="AE566"/>
    <hyperlink r:id="rId1163" ref="K567"/>
    <hyperlink r:id="rId1164" ref="L567"/>
    <hyperlink r:id="rId1165" ref="AE567"/>
    <hyperlink r:id="rId1166" ref="K568"/>
    <hyperlink r:id="rId1167" ref="L568"/>
    <hyperlink r:id="rId1168" ref="AE568"/>
    <hyperlink r:id="rId1169" ref="K569"/>
    <hyperlink r:id="rId1170" ref="L569"/>
    <hyperlink r:id="rId1171" ref="K570"/>
    <hyperlink r:id="rId1172" ref="L570"/>
    <hyperlink r:id="rId1173" ref="K571"/>
    <hyperlink r:id="rId1174" ref="L571"/>
    <hyperlink r:id="rId1175" ref="AE571"/>
    <hyperlink r:id="rId1176" ref="K572"/>
    <hyperlink r:id="rId1177" ref="L572"/>
    <hyperlink r:id="rId1178" ref="AE572"/>
    <hyperlink r:id="rId1179" ref="K573"/>
    <hyperlink r:id="rId1180" ref="L573"/>
    <hyperlink r:id="rId1181" ref="AE573"/>
    <hyperlink r:id="rId1182" ref="K574"/>
    <hyperlink r:id="rId1183" ref="L574"/>
    <hyperlink r:id="rId1184" ref="AE574"/>
    <hyperlink r:id="rId1185" ref="K575"/>
    <hyperlink r:id="rId1186" ref="L575"/>
    <hyperlink r:id="rId1187" ref="AE575"/>
    <hyperlink r:id="rId1188" ref="L576"/>
    <hyperlink r:id="rId1189" ref="K577"/>
    <hyperlink r:id="rId1190" ref="L577"/>
    <hyperlink r:id="rId1191" ref="K578"/>
    <hyperlink r:id="rId1192" ref="L578"/>
    <hyperlink r:id="rId1193" ref="AE578"/>
    <hyperlink r:id="rId1194" ref="AF578"/>
    <hyperlink r:id="rId1195" ref="K579"/>
    <hyperlink r:id="rId1196" ref="L579"/>
    <hyperlink r:id="rId1197" ref="AE579"/>
    <hyperlink r:id="rId1198" ref="AF579"/>
    <hyperlink r:id="rId1199" ref="K580"/>
    <hyperlink r:id="rId1200" ref="L580"/>
    <hyperlink r:id="rId1201" ref="AE580"/>
    <hyperlink r:id="rId1202" ref="AF580"/>
    <hyperlink r:id="rId1203" ref="K581"/>
    <hyperlink r:id="rId1204" ref="L581"/>
    <hyperlink r:id="rId1205" ref="AE581"/>
    <hyperlink r:id="rId1206" ref="AF581"/>
    <hyperlink r:id="rId1207" ref="K582"/>
    <hyperlink r:id="rId1208" ref="L582"/>
    <hyperlink r:id="rId1209" ref="AE582"/>
    <hyperlink r:id="rId1210" ref="AF582"/>
    <hyperlink r:id="rId1211" ref="K583"/>
    <hyperlink r:id="rId1212" ref="L583"/>
    <hyperlink r:id="rId1213" ref="AE583"/>
    <hyperlink r:id="rId1214" ref="AF583"/>
    <hyperlink r:id="rId1215" ref="K584"/>
    <hyperlink r:id="rId1216" ref="L584"/>
    <hyperlink r:id="rId1217" ref="AE584"/>
    <hyperlink r:id="rId1218" ref="K585"/>
    <hyperlink r:id="rId1219" ref="L585"/>
    <hyperlink r:id="rId1220" ref="AE585"/>
    <hyperlink r:id="rId1221" ref="K586"/>
    <hyperlink r:id="rId1222" ref="L586"/>
    <hyperlink r:id="rId1223" ref="K587"/>
    <hyperlink r:id="rId1224" ref="L587"/>
    <hyperlink r:id="rId1225" ref="AB587"/>
    <hyperlink r:id="rId1226" ref="K588"/>
    <hyperlink r:id="rId1227" ref="L588"/>
    <hyperlink r:id="rId1228" ref="K589"/>
    <hyperlink r:id="rId1229" ref="L589"/>
    <hyperlink r:id="rId1230" ref="AE589"/>
    <hyperlink r:id="rId1231" ref="K590"/>
    <hyperlink r:id="rId1232" ref="L590"/>
    <hyperlink r:id="rId1233" ref="AE590"/>
    <hyperlink r:id="rId1234" ref="K591"/>
    <hyperlink r:id="rId1235" ref="L591"/>
    <hyperlink r:id="rId1236" ref="AE591"/>
    <hyperlink r:id="rId1237" ref="K592"/>
    <hyperlink r:id="rId1238" ref="L592"/>
    <hyperlink r:id="rId1239" ref="K593"/>
    <hyperlink r:id="rId1240" ref="L593"/>
    <hyperlink r:id="rId1241" ref="AE593"/>
    <hyperlink r:id="rId1242" ref="K594"/>
    <hyperlink r:id="rId1243" ref="L594"/>
    <hyperlink r:id="rId1244" ref="AE594"/>
    <hyperlink r:id="rId1245" ref="AF594"/>
    <hyperlink r:id="rId1246" ref="K595"/>
    <hyperlink r:id="rId1247" ref="L595"/>
    <hyperlink r:id="rId1248" ref="AE595"/>
    <hyperlink r:id="rId1249" ref="AF595"/>
    <hyperlink r:id="rId1250" ref="K596"/>
    <hyperlink r:id="rId1251" ref="L596"/>
    <hyperlink r:id="rId1252" ref="K597"/>
    <hyperlink r:id="rId1253" ref="L597"/>
    <hyperlink r:id="rId1254" ref="K598"/>
    <hyperlink r:id="rId1255" ref="L598"/>
    <hyperlink r:id="rId1256" ref="AE598"/>
    <hyperlink r:id="rId1257" ref="K599"/>
    <hyperlink r:id="rId1258" ref="L599"/>
    <hyperlink r:id="rId1259" ref="AE599"/>
    <hyperlink r:id="rId1260" ref="K600"/>
    <hyperlink r:id="rId1261" ref="L600"/>
    <hyperlink r:id="rId1262" ref="K601"/>
    <hyperlink r:id="rId1263" ref="L601"/>
    <hyperlink r:id="rId1264" ref="K602"/>
    <hyperlink r:id="rId1265" ref="L602"/>
    <hyperlink r:id="rId1266" ref="K603"/>
    <hyperlink r:id="rId1267" ref="L603"/>
    <hyperlink r:id="rId1268" ref="K604"/>
    <hyperlink r:id="rId1269" ref="L604"/>
    <hyperlink r:id="rId1270" ref="K605"/>
    <hyperlink r:id="rId1271" ref="L605"/>
    <hyperlink r:id="rId1272" ref="K606"/>
    <hyperlink r:id="rId1273" ref="L606"/>
    <hyperlink r:id="rId1274" ref="AE606"/>
    <hyperlink r:id="rId1275" ref="K607"/>
    <hyperlink r:id="rId1276" ref="L607"/>
    <hyperlink r:id="rId1277" location="/products/113447" ref="AE607"/>
    <hyperlink r:id="rId1278" ref="K608"/>
    <hyperlink r:id="rId1279" ref="L608"/>
    <hyperlink r:id="rId1280" ref="AE608"/>
    <hyperlink r:id="rId1281" ref="K609"/>
    <hyperlink r:id="rId1282" ref="L609"/>
    <hyperlink r:id="rId1283" ref="AE609"/>
    <hyperlink r:id="rId1284" ref="K610"/>
    <hyperlink r:id="rId1285" ref="L610"/>
    <hyperlink r:id="rId1286" ref="AE610"/>
    <hyperlink r:id="rId1287" ref="K611"/>
    <hyperlink r:id="rId1288" ref="L611"/>
    <hyperlink r:id="rId1289" ref="AE611"/>
    <hyperlink r:id="rId1290" ref="K612"/>
    <hyperlink r:id="rId1291" ref="L612"/>
    <hyperlink r:id="rId1292" ref="K613"/>
    <hyperlink r:id="rId1293" ref="L613"/>
    <hyperlink r:id="rId1294" ref="K614"/>
    <hyperlink r:id="rId1295" ref="L614"/>
    <hyperlink r:id="rId1296" ref="AE614"/>
    <hyperlink r:id="rId1297" ref="K615"/>
    <hyperlink r:id="rId1298" ref="L615"/>
    <hyperlink r:id="rId1299" ref="AE615"/>
    <hyperlink r:id="rId1300" ref="K616"/>
    <hyperlink r:id="rId1301" ref="L616"/>
    <hyperlink r:id="rId1302" ref="AE616"/>
    <hyperlink r:id="rId1303" ref="K617"/>
    <hyperlink r:id="rId1304" ref="L617"/>
    <hyperlink r:id="rId1305" ref="AE617"/>
    <hyperlink r:id="rId1306" ref="K618"/>
    <hyperlink r:id="rId1307" ref="L618"/>
    <hyperlink r:id="rId1308" ref="AE618"/>
    <hyperlink r:id="rId1309" ref="K619"/>
    <hyperlink r:id="rId1310" ref="L619"/>
    <hyperlink r:id="rId1311" ref="K620"/>
    <hyperlink r:id="rId1312" ref="L620"/>
    <hyperlink r:id="rId1313" ref="K621"/>
    <hyperlink r:id="rId1314" ref="L621"/>
    <hyperlink r:id="rId1315" ref="K622"/>
    <hyperlink r:id="rId1316" ref="L622"/>
    <hyperlink r:id="rId1317" ref="AB622"/>
    <hyperlink r:id="rId1318" ref="K623"/>
    <hyperlink r:id="rId1319" ref="L623"/>
    <hyperlink r:id="rId1320" ref="L624"/>
    <hyperlink r:id="rId1321" ref="AE624"/>
    <hyperlink r:id="rId1322" ref="L625"/>
    <hyperlink r:id="rId1323" ref="AE625"/>
    <hyperlink r:id="rId1324" ref="K626"/>
    <hyperlink r:id="rId1325" ref="L626"/>
    <hyperlink r:id="rId1326" ref="K627"/>
    <hyperlink r:id="rId1327" ref="L627"/>
    <hyperlink r:id="rId1328" ref="K628"/>
    <hyperlink r:id="rId1329" ref="L628"/>
    <hyperlink r:id="rId1330" ref="K629"/>
    <hyperlink r:id="rId1331" ref="L629"/>
    <hyperlink r:id="rId1332" ref="AE629"/>
    <hyperlink r:id="rId1333" ref="K630"/>
    <hyperlink r:id="rId1334" ref="L630"/>
    <hyperlink r:id="rId1335" ref="AE630"/>
    <hyperlink r:id="rId1336" ref="K631"/>
    <hyperlink r:id="rId1337" ref="L631"/>
    <hyperlink r:id="rId1338" ref="AE631"/>
    <hyperlink r:id="rId1339" ref="K632"/>
    <hyperlink r:id="rId1340" ref="L632"/>
    <hyperlink r:id="rId1341" ref="AE632"/>
    <hyperlink r:id="rId1342" ref="K633"/>
    <hyperlink r:id="rId1343" ref="L633"/>
    <hyperlink r:id="rId1344" ref="AE633"/>
    <hyperlink r:id="rId1345" ref="K634"/>
    <hyperlink r:id="rId1346" ref="L634"/>
    <hyperlink r:id="rId1347" ref="AE634"/>
    <hyperlink r:id="rId1348" ref="K635"/>
    <hyperlink r:id="rId1349" ref="L635"/>
    <hyperlink r:id="rId1350" ref="AE635"/>
    <hyperlink r:id="rId1351" ref="K636"/>
    <hyperlink r:id="rId1352" ref="L636"/>
    <hyperlink r:id="rId1353" ref="AE636"/>
    <hyperlink r:id="rId1354" ref="L637"/>
    <hyperlink r:id="rId1355" ref="AE637"/>
    <hyperlink r:id="rId1356" ref="K638"/>
    <hyperlink r:id="rId1357" ref="L638"/>
    <hyperlink r:id="rId1358" ref="AE638"/>
    <hyperlink r:id="rId1359" ref="K639"/>
    <hyperlink r:id="rId1360" ref="L639"/>
    <hyperlink r:id="rId1361" ref="AE639"/>
    <hyperlink r:id="rId1362" ref="K640"/>
    <hyperlink r:id="rId1363" ref="L640"/>
    <hyperlink r:id="rId1364" ref="AE640"/>
    <hyperlink r:id="rId1365" ref="K641"/>
    <hyperlink r:id="rId1366" ref="L641"/>
    <hyperlink r:id="rId1367" ref="AE641"/>
    <hyperlink r:id="rId1368" ref="L642"/>
    <hyperlink r:id="rId1369" ref="AE642"/>
    <hyperlink r:id="rId1370" ref="K643"/>
    <hyperlink r:id="rId1371" ref="L643"/>
    <hyperlink r:id="rId1372" ref="AE643"/>
    <hyperlink r:id="rId1373" ref="K644"/>
    <hyperlink r:id="rId1374" ref="L644"/>
    <hyperlink r:id="rId1375" ref="K645"/>
    <hyperlink r:id="rId1376" ref="L645"/>
    <hyperlink r:id="rId1377" ref="AE645"/>
    <hyperlink r:id="rId1378" ref="K646"/>
    <hyperlink r:id="rId1379" ref="L646"/>
    <hyperlink r:id="rId1380" ref="AE646"/>
    <hyperlink r:id="rId1381" ref="K647"/>
    <hyperlink r:id="rId1382" ref="L647"/>
    <hyperlink r:id="rId1383" ref="AE647"/>
    <hyperlink r:id="rId1384" ref="K648"/>
    <hyperlink r:id="rId1385" ref="L648"/>
    <hyperlink r:id="rId1386" ref="AE648"/>
    <hyperlink r:id="rId1387" ref="K649"/>
    <hyperlink r:id="rId1388" ref="L649"/>
    <hyperlink r:id="rId1389" ref="AE649"/>
    <hyperlink r:id="rId1390" ref="K650"/>
    <hyperlink r:id="rId1391" ref="L650"/>
    <hyperlink r:id="rId1392" ref="AE650"/>
    <hyperlink r:id="rId1393" ref="K651"/>
    <hyperlink r:id="rId1394" ref="L651"/>
    <hyperlink r:id="rId1395" ref="AE651"/>
    <hyperlink r:id="rId1396" ref="K652"/>
    <hyperlink r:id="rId1397" ref="L652"/>
    <hyperlink r:id="rId1398" ref="AE652"/>
    <hyperlink r:id="rId1399" ref="K653"/>
    <hyperlink r:id="rId1400" ref="L653"/>
    <hyperlink r:id="rId1401" ref="AE653"/>
    <hyperlink r:id="rId1402" ref="K654"/>
    <hyperlink r:id="rId1403" ref="L654"/>
    <hyperlink r:id="rId1404" ref="AE654"/>
    <hyperlink r:id="rId1405" ref="K655"/>
    <hyperlink r:id="rId1406" ref="L655"/>
    <hyperlink r:id="rId1407" ref="AE655"/>
    <hyperlink r:id="rId1408" ref="K656"/>
    <hyperlink r:id="rId1409" ref="L656"/>
    <hyperlink r:id="rId1410" ref="AE656"/>
    <hyperlink r:id="rId1411" ref="K657"/>
    <hyperlink r:id="rId1412" ref="L657"/>
    <hyperlink r:id="rId1413" ref="AE657"/>
    <hyperlink r:id="rId1414" ref="K658"/>
    <hyperlink r:id="rId1415" ref="L658"/>
    <hyperlink r:id="rId1416" ref="AE658"/>
    <hyperlink r:id="rId1417" ref="K659"/>
    <hyperlink r:id="rId1418" ref="L659"/>
    <hyperlink r:id="rId1419" ref="AE659"/>
    <hyperlink r:id="rId1420" ref="K660"/>
    <hyperlink r:id="rId1421" ref="L660"/>
    <hyperlink r:id="rId1422" ref="AE660"/>
    <hyperlink r:id="rId1423" ref="K661"/>
    <hyperlink r:id="rId1424" ref="L661"/>
    <hyperlink r:id="rId1425" ref="AE661"/>
    <hyperlink r:id="rId1426" ref="K662"/>
    <hyperlink r:id="rId1427" ref="L662"/>
    <hyperlink r:id="rId1428" ref="AE662"/>
    <hyperlink r:id="rId1429" ref="K663"/>
    <hyperlink r:id="rId1430" ref="L663"/>
    <hyperlink r:id="rId1431" ref="AE663"/>
    <hyperlink r:id="rId1432" ref="K664"/>
    <hyperlink r:id="rId1433" ref="L664"/>
    <hyperlink r:id="rId1434" ref="AE664"/>
    <hyperlink r:id="rId1435" ref="K665"/>
    <hyperlink r:id="rId1436" ref="L665"/>
    <hyperlink r:id="rId1437" ref="K666"/>
    <hyperlink r:id="rId1438" ref="L666"/>
    <hyperlink r:id="rId1439" ref="K667"/>
    <hyperlink r:id="rId1440" ref="L667"/>
    <hyperlink r:id="rId1441" ref="K668"/>
    <hyperlink r:id="rId1442" ref="L668"/>
    <hyperlink r:id="rId1443" ref="AE668"/>
    <hyperlink r:id="rId1444" ref="AF668"/>
    <hyperlink r:id="rId1445" ref="K669"/>
    <hyperlink r:id="rId1446" ref="L669"/>
    <hyperlink r:id="rId1447" ref="AE669"/>
    <hyperlink r:id="rId1448" ref="AF669"/>
    <hyperlink r:id="rId1449" ref="K670"/>
    <hyperlink r:id="rId1450" ref="L670"/>
    <hyperlink r:id="rId1451" ref="AE670"/>
    <hyperlink r:id="rId1452" ref="AF670"/>
    <hyperlink r:id="rId1453" ref="K671"/>
    <hyperlink r:id="rId1454" ref="L671"/>
    <hyperlink r:id="rId1455" ref="AE671"/>
    <hyperlink r:id="rId1456" ref="K672"/>
    <hyperlink r:id="rId1457" ref="L672"/>
    <hyperlink r:id="rId1458" ref="AE672"/>
    <hyperlink r:id="rId1459" ref="K673"/>
    <hyperlink r:id="rId1460" ref="L673"/>
    <hyperlink r:id="rId1461" ref="K674"/>
    <hyperlink r:id="rId1462" ref="L674"/>
    <hyperlink r:id="rId1463" ref="K675"/>
    <hyperlink r:id="rId1464" ref="L675"/>
    <hyperlink r:id="rId1465" ref="AE675"/>
    <hyperlink r:id="rId1466" ref="AF675"/>
    <hyperlink r:id="rId1467" ref="K676"/>
    <hyperlink r:id="rId1468" ref="L676"/>
    <hyperlink r:id="rId1469" ref="AE676"/>
    <hyperlink r:id="rId1470" ref="AF676"/>
    <hyperlink r:id="rId1471" ref="K677"/>
    <hyperlink r:id="rId1472" ref="L677"/>
    <hyperlink r:id="rId1473" ref="AE677"/>
    <hyperlink r:id="rId1474" ref="AF677"/>
    <hyperlink r:id="rId1475" ref="K678"/>
    <hyperlink r:id="rId1476" ref="L678"/>
    <hyperlink r:id="rId1477" ref="AE678"/>
    <hyperlink r:id="rId1478" ref="AF678"/>
    <hyperlink r:id="rId1479" ref="K679"/>
    <hyperlink r:id="rId1480" ref="L679"/>
    <hyperlink r:id="rId1481" ref="AE679"/>
    <hyperlink r:id="rId1482" ref="K680"/>
    <hyperlink r:id="rId1483" ref="L680"/>
    <hyperlink r:id="rId1484" ref="AE680"/>
    <hyperlink r:id="rId1485" ref="K681"/>
    <hyperlink r:id="rId1486" ref="L681"/>
    <hyperlink r:id="rId1487" ref="AE681"/>
    <hyperlink r:id="rId1488" ref="K682"/>
    <hyperlink r:id="rId1489" ref="L682"/>
    <hyperlink r:id="rId1490" ref="AE682"/>
    <hyperlink r:id="rId1491" ref="K683"/>
    <hyperlink r:id="rId1492" ref="L683"/>
    <hyperlink r:id="rId1493" ref="K684"/>
    <hyperlink r:id="rId1494" ref="L684"/>
    <hyperlink r:id="rId1495" ref="AE684"/>
    <hyperlink r:id="rId1496" ref="K685"/>
    <hyperlink r:id="rId1497" ref="L685"/>
    <hyperlink r:id="rId1498" ref="AE685"/>
    <hyperlink r:id="rId1499" ref="K686"/>
    <hyperlink r:id="rId1500" ref="L686"/>
    <hyperlink r:id="rId1501" ref="AE686"/>
    <hyperlink r:id="rId1502" ref="K687"/>
    <hyperlink r:id="rId1503" ref="L687"/>
    <hyperlink r:id="rId1504" ref="AE687"/>
    <hyperlink r:id="rId1505" ref="K688"/>
    <hyperlink r:id="rId1506" ref="L688"/>
    <hyperlink r:id="rId1507" ref="AE688"/>
    <hyperlink r:id="rId1508" ref="K689"/>
    <hyperlink r:id="rId1509" ref="L689"/>
    <hyperlink r:id="rId1510" ref="AE689"/>
    <hyperlink r:id="rId1511" ref="K690"/>
    <hyperlink r:id="rId1512" ref="L690"/>
    <hyperlink r:id="rId1513" ref="AE690"/>
    <hyperlink r:id="rId1514" ref="K691"/>
    <hyperlink r:id="rId1515" ref="L691"/>
    <hyperlink r:id="rId1516" ref="AE691"/>
    <hyperlink r:id="rId1517" ref="K692"/>
    <hyperlink r:id="rId1518" ref="L692"/>
    <hyperlink r:id="rId1519" ref="AE692"/>
    <hyperlink r:id="rId1520" ref="K693"/>
    <hyperlink r:id="rId1521" ref="L693"/>
    <hyperlink r:id="rId1522" ref="AE693"/>
    <hyperlink r:id="rId1523" ref="K694"/>
    <hyperlink r:id="rId1524" ref="L694"/>
    <hyperlink r:id="rId1525" ref="AE694"/>
    <hyperlink r:id="rId1526" ref="K695"/>
    <hyperlink r:id="rId1527" ref="L695"/>
    <hyperlink r:id="rId1528" ref="AE695"/>
    <hyperlink r:id="rId1529" ref="K696"/>
    <hyperlink r:id="rId1530" ref="L696"/>
    <hyperlink r:id="rId1531" ref="AE696"/>
    <hyperlink r:id="rId1532" ref="K697"/>
    <hyperlink r:id="rId1533" ref="L697"/>
    <hyperlink r:id="rId1534" ref="AE697"/>
    <hyperlink r:id="rId1535" ref="K698"/>
    <hyperlink r:id="rId1536" ref="L698"/>
    <hyperlink r:id="rId1537" ref="K699"/>
    <hyperlink r:id="rId1538" ref="L699"/>
    <hyperlink r:id="rId1539" ref="K700"/>
    <hyperlink r:id="rId1540" ref="L700"/>
    <hyperlink r:id="rId1541" ref="AE700"/>
    <hyperlink r:id="rId1542" ref="K701"/>
    <hyperlink r:id="rId1543" ref="L701"/>
    <hyperlink r:id="rId1544" ref="AE701"/>
    <hyperlink r:id="rId1545" ref="K702"/>
    <hyperlink r:id="rId1546" ref="L702"/>
    <hyperlink r:id="rId1547" ref="AE702"/>
    <hyperlink r:id="rId1548" ref="K703"/>
    <hyperlink r:id="rId1549" ref="L703"/>
    <hyperlink r:id="rId1550" ref="AE703"/>
    <hyperlink r:id="rId1551" ref="K704"/>
    <hyperlink r:id="rId1552" ref="L704"/>
    <hyperlink r:id="rId1553" ref="AE704"/>
    <hyperlink r:id="rId1554" ref="K705"/>
    <hyperlink r:id="rId1555" ref="L705"/>
    <hyperlink r:id="rId1556" ref="AE705"/>
    <hyperlink r:id="rId1557" ref="AF705"/>
    <hyperlink r:id="rId1558" ref="K706"/>
    <hyperlink r:id="rId1559" ref="L706"/>
    <hyperlink r:id="rId1560" ref="AE706"/>
    <hyperlink r:id="rId1561" ref="AF706"/>
    <hyperlink r:id="rId1562" ref="K707"/>
    <hyperlink r:id="rId1563" ref="L707"/>
    <hyperlink r:id="rId1564" location="%2Fcontent%2Fdata%2520-%2520ldp%2Fpages%2F42nd3rd%2F1st_read%2Fgov15-1.htm" ref="L708"/>
    <hyperlink r:id="rId1565" ref="AE708"/>
    <hyperlink r:id="rId1566" ref="K709"/>
    <hyperlink r:id="rId1567" ref="L709"/>
    <hyperlink r:id="rId1568" ref="AE709"/>
    <hyperlink r:id="rId1569" ref="AF709"/>
    <hyperlink r:id="rId1570" ref="K710"/>
    <hyperlink r:id="rId1571" ref="L710"/>
    <hyperlink r:id="rId1572" ref="AE710"/>
    <hyperlink r:id="rId1573" ref="AF710"/>
    <hyperlink r:id="rId1574" ref="K711"/>
    <hyperlink r:id="rId1575" ref="L711"/>
    <hyperlink r:id="rId1576" ref="AE711"/>
    <hyperlink r:id="rId1577" ref="AF711"/>
    <hyperlink r:id="rId1578" ref="K712"/>
    <hyperlink r:id="rId1579" ref="L712"/>
    <hyperlink r:id="rId1580" ref="AE712"/>
    <hyperlink r:id="rId1581" ref="K713"/>
    <hyperlink r:id="rId1582" ref="L713"/>
    <hyperlink r:id="rId1583" ref="AE713"/>
    <hyperlink r:id="rId1584" ref="K714"/>
    <hyperlink r:id="rId1585" ref="L714"/>
    <hyperlink r:id="rId1586" ref="AE714"/>
    <hyperlink r:id="rId1587" ref="L715"/>
    <hyperlink r:id="rId1588" ref="AE715"/>
    <hyperlink r:id="rId1589" ref="K716"/>
    <hyperlink r:id="rId1590" ref="L716"/>
    <hyperlink r:id="rId1591" ref="AE716"/>
    <hyperlink r:id="rId1592" ref="K717"/>
    <hyperlink r:id="rId1593" ref="L717"/>
    <hyperlink r:id="rId1594" ref="AE717"/>
    <hyperlink r:id="rId1595" ref="K718"/>
    <hyperlink r:id="rId1596" ref="L718"/>
    <hyperlink r:id="rId1597" ref="AE718"/>
    <hyperlink r:id="rId1598" ref="K719"/>
    <hyperlink r:id="rId1599" ref="L719"/>
    <hyperlink r:id="rId1600" ref="AE719"/>
    <hyperlink r:id="rId1601" ref="K720"/>
    <hyperlink r:id="rId1602" ref="L720"/>
    <hyperlink r:id="rId1603" ref="AE720"/>
    <hyperlink r:id="rId1604" ref="K721"/>
    <hyperlink r:id="rId1605" ref="L721"/>
    <hyperlink r:id="rId1606" ref="AE721"/>
    <hyperlink r:id="rId1607" ref="K722"/>
    <hyperlink r:id="rId1608" ref="L722"/>
    <hyperlink r:id="rId1609" ref="AE722"/>
    <hyperlink r:id="rId1610" ref="K723"/>
    <hyperlink r:id="rId1611" ref="L723"/>
    <hyperlink r:id="rId1612" ref="AE723"/>
    <hyperlink r:id="rId1613" ref="K724"/>
    <hyperlink r:id="rId1614" ref="L724"/>
    <hyperlink r:id="rId1615" ref="K725"/>
    <hyperlink r:id="rId1616" ref="L725"/>
    <hyperlink r:id="rId1617" ref="AE725"/>
    <hyperlink r:id="rId1618" ref="K726"/>
    <hyperlink r:id="rId1619" ref="L726"/>
    <hyperlink r:id="rId1620" ref="AE726"/>
    <hyperlink r:id="rId1621" ref="K727"/>
    <hyperlink r:id="rId1622" ref="L727"/>
    <hyperlink r:id="rId1623" ref="AE727"/>
    <hyperlink r:id="rId1624" ref="L728"/>
    <hyperlink r:id="rId1625" ref="AE728"/>
    <hyperlink r:id="rId1626" ref="K729"/>
    <hyperlink r:id="rId1627" ref="L729"/>
    <hyperlink r:id="rId1628" ref="AE729"/>
    <hyperlink r:id="rId1629" ref="K730"/>
    <hyperlink r:id="rId1630" ref="L730"/>
    <hyperlink r:id="rId1631" ref="AE730"/>
    <hyperlink r:id="rId1632" ref="K731"/>
    <hyperlink r:id="rId1633" ref="L731"/>
    <hyperlink r:id="rId1634" ref="AE731"/>
    <hyperlink r:id="rId1635" ref="K732"/>
    <hyperlink r:id="rId1636" ref="L732"/>
    <hyperlink r:id="rId1637" ref="AE732"/>
    <hyperlink r:id="rId1638" ref="K733"/>
    <hyperlink r:id="rId1639" ref="L733"/>
    <hyperlink r:id="rId1640" ref="AE733"/>
    <hyperlink r:id="rId1641" ref="L734"/>
    <hyperlink r:id="rId1642" ref="AE734"/>
    <hyperlink r:id="rId1643" ref="L735"/>
    <hyperlink r:id="rId1644" ref="AE735"/>
    <hyperlink r:id="rId1645" ref="L736"/>
    <hyperlink r:id="rId1646" ref="AE736"/>
    <hyperlink r:id="rId1647" ref="L737"/>
    <hyperlink r:id="rId1648" ref="AE737"/>
    <hyperlink r:id="rId1649" ref="K738"/>
    <hyperlink r:id="rId1650" ref="L738"/>
    <hyperlink r:id="rId1651" ref="AE738"/>
    <hyperlink r:id="rId1652" ref="K739"/>
    <hyperlink r:id="rId1653" ref="L739"/>
    <hyperlink r:id="rId1654" ref="AE739"/>
    <hyperlink r:id="rId1655" ref="K740"/>
    <hyperlink r:id="rId1656" ref="L740"/>
    <hyperlink r:id="rId1657" ref="K741"/>
    <hyperlink r:id="rId1658" ref="L741"/>
    <hyperlink r:id="rId1659" ref="AB741"/>
    <hyperlink r:id="rId1660" ref="K742"/>
    <hyperlink r:id="rId1661" ref="L742"/>
    <hyperlink r:id="rId1662" ref="K743"/>
    <hyperlink r:id="rId1663" ref="L743"/>
    <hyperlink r:id="rId1664" ref="AB743"/>
    <hyperlink r:id="rId1665" ref="K744"/>
    <hyperlink r:id="rId1666" ref="L744"/>
    <hyperlink r:id="rId1667" ref="K745"/>
    <hyperlink r:id="rId1668" ref="L745"/>
    <hyperlink r:id="rId1669" ref="AB745"/>
    <hyperlink r:id="rId1670" ref="K746"/>
    <hyperlink r:id="rId1671" ref="L746"/>
    <hyperlink r:id="rId1672" ref="K747"/>
    <hyperlink r:id="rId1673" ref="L747"/>
    <hyperlink r:id="rId1674" ref="K748"/>
    <hyperlink r:id="rId1675" ref="L748"/>
    <hyperlink r:id="rId1676" ref="AE748"/>
    <hyperlink r:id="rId1677" ref="K749"/>
    <hyperlink r:id="rId1678" ref="L749"/>
    <hyperlink r:id="rId1679" ref="AE749"/>
    <hyperlink r:id="rId1680" ref="K750"/>
    <hyperlink r:id="rId1681" ref="L750"/>
    <hyperlink r:id="rId1682" ref="AE750"/>
    <hyperlink r:id="rId1683" ref="K751"/>
    <hyperlink r:id="rId1684" ref="L751"/>
    <hyperlink r:id="rId1685" ref="AE751"/>
    <hyperlink r:id="rId1686" ref="K752"/>
    <hyperlink r:id="rId1687" ref="L752"/>
    <hyperlink r:id="rId1688" ref="AE752"/>
    <hyperlink r:id="rId1689" ref="K753"/>
    <hyperlink r:id="rId1690" ref="L753"/>
    <hyperlink r:id="rId1691" ref="AE753"/>
    <hyperlink r:id="rId1692" ref="L754"/>
    <hyperlink r:id="rId1693" ref="AE754"/>
    <hyperlink r:id="rId1694" ref="K755"/>
    <hyperlink r:id="rId1695" ref="L755"/>
    <hyperlink r:id="rId1696" ref="AE755"/>
    <hyperlink r:id="rId1697" ref="K756"/>
    <hyperlink r:id="rId1698" ref="L756"/>
    <hyperlink r:id="rId1699" ref="AE756"/>
    <hyperlink r:id="rId1700" ref="K757"/>
    <hyperlink r:id="rId1701" ref="L757"/>
    <hyperlink r:id="rId1702" ref="AE757"/>
    <hyperlink r:id="rId1703" ref="K758"/>
    <hyperlink r:id="rId1704" ref="L758"/>
    <hyperlink r:id="rId1705" ref="AE758"/>
    <hyperlink r:id="rId1706" ref="K759"/>
    <hyperlink r:id="rId1707" ref="L759"/>
    <hyperlink r:id="rId1708" ref="AE759"/>
    <hyperlink r:id="rId1709" ref="K760"/>
    <hyperlink r:id="rId1710" ref="L760"/>
    <hyperlink r:id="rId1711" ref="AE760"/>
    <hyperlink r:id="rId1712" ref="K761"/>
    <hyperlink r:id="rId1713" ref="L761"/>
    <hyperlink r:id="rId1714" ref="AE761"/>
    <hyperlink r:id="rId1715" ref="K762"/>
    <hyperlink r:id="rId1716" ref="L762"/>
    <hyperlink r:id="rId1717" ref="AE762"/>
    <hyperlink r:id="rId1718" ref="K763"/>
    <hyperlink r:id="rId1719" ref="L763"/>
    <hyperlink r:id="rId1720" ref="AE763"/>
    <hyperlink r:id="rId1721" ref="K764"/>
    <hyperlink r:id="rId1722" ref="L764"/>
    <hyperlink r:id="rId1723" ref="AE764"/>
    <hyperlink r:id="rId1724" ref="K765"/>
    <hyperlink r:id="rId1725" ref="L765"/>
    <hyperlink r:id="rId1726" ref="AE765"/>
    <hyperlink r:id="rId1727" ref="K766"/>
    <hyperlink r:id="rId1728" ref="L766"/>
    <hyperlink r:id="rId1729" ref="AE766"/>
    <hyperlink r:id="rId1730" ref="K767"/>
    <hyperlink r:id="rId1731" ref="L767"/>
    <hyperlink r:id="rId1732" ref="AE767"/>
    <hyperlink r:id="rId1733" ref="K768"/>
    <hyperlink r:id="rId1734" ref="L768"/>
    <hyperlink r:id="rId1735" ref="AE768"/>
    <hyperlink r:id="rId1736" ref="K769"/>
    <hyperlink r:id="rId1737" ref="L769"/>
    <hyperlink r:id="rId1738" ref="AE769"/>
    <hyperlink r:id="rId1739" ref="K770"/>
    <hyperlink r:id="rId1740" ref="L770"/>
    <hyperlink r:id="rId1741" ref="AE770"/>
    <hyperlink r:id="rId1742" ref="L771"/>
    <hyperlink r:id="rId1743" ref="AE771"/>
    <hyperlink r:id="rId1744" ref="K772"/>
    <hyperlink r:id="rId1745" ref="L772"/>
    <hyperlink r:id="rId1746" ref="AE772"/>
    <hyperlink r:id="rId1747" ref="K773"/>
    <hyperlink r:id="rId1748" ref="L773"/>
    <hyperlink r:id="rId1749" ref="AE773"/>
    <hyperlink r:id="rId1750" ref="K774"/>
    <hyperlink r:id="rId1751" ref="L774"/>
    <hyperlink r:id="rId1752" ref="AE774"/>
    <hyperlink r:id="rId1753" ref="K775"/>
    <hyperlink r:id="rId1754" ref="L775"/>
    <hyperlink r:id="rId1755" ref="AE775"/>
    <hyperlink r:id="rId1756" ref="K776"/>
    <hyperlink r:id="rId1757" ref="L776"/>
    <hyperlink r:id="rId1758" ref="AE776"/>
    <hyperlink r:id="rId1759" ref="K777"/>
    <hyperlink r:id="rId1760" ref="L777"/>
    <hyperlink r:id="rId1761" ref="AE777"/>
    <hyperlink r:id="rId1762" ref="K778"/>
    <hyperlink r:id="rId1763" ref="L778"/>
    <hyperlink r:id="rId1764" ref="K779"/>
    <hyperlink r:id="rId1765" ref="L779"/>
    <hyperlink r:id="rId1766" ref="K780"/>
    <hyperlink r:id="rId1767" ref="L780"/>
    <hyperlink r:id="rId1768" ref="AE780"/>
    <hyperlink r:id="rId1769" ref="K781"/>
    <hyperlink r:id="rId1770" ref="L781"/>
    <hyperlink r:id="rId1771" ref="AE781"/>
    <hyperlink r:id="rId1772" ref="K782"/>
    <hyperlink r:id="rId1773" ref="L782"/>
    <hyperlink r:id="rId1774" ref="AE782"/>
    <hyperlink r:id="rId1775" ref="K783"/>
    <hyperlink r:id="rId1776" ref="L783"/>
    <hyperlink r:id="rId1777" location="/products/76167" ref="AE783"/>
    <hyperlink r:id="rId1778" location="/categories/5568" ref="AF783"/>
    <hyperlink r:id="rId1779" ref="K784"/>
    <hyperlink r:id="rId1780" ref="L784"/>
    <hyperlink r:id="rId1781" location="/products/76263" ref="AE784"/>
    <hyperlink r:id="rId1782" location="/categories/5568" ref="AF784"/>
    <hyperlink r:id="rId1783" ref="K785"/>
    <hyperlink r:id="rId1784" ref="L785"/>
    <hyperlink r:id="rId1785" location="/products/76265" ref="AE785"/>
    <hyperlink r:id="rId1786" location="/categories/5568" ref="AF785"/>
    <hyperlink r:id="rId1787" ref="K786"/>
    <hyperlink r:id="rId1788" ref="L786"/>
    <hyperlink r:id="rId1789" location="/products/87486" ref="AE786"/>
    <hyperlink r:id="rId1790" location="/categories/5568" ref="AF786"/>
    <hyperlink r:id="rId1791" ref="K787"/>
    <hyperlink r:id="rId1792" ref="L787"/>
    <hyperlink r:id="rId1793" location="/products/100517" ref="AE787"/>
    <hyperlink r:id="rId1794" location="/categories/5568" ref="AF787"/>
    <hyperlink r:id="rId1795" ref="K788"/>
    <hyperlink r:id="rId1796" ref="L788"/>
    <hyperlink r:id="rId1797" location="/products/100518" ref="AE788"/>
    <hyperlink r:id="rId1798" location="/categories/5568" ref="AF788"/>
    <hyperlink r:id="rId1799" ref="K789"/>
    <hyperlink r:id="rId1800" ref="L789"/>
    <hyperlink r:id="rId1801" location="/products/103915" ref="AE789"/>
    <hyperlink r:id="rId1802" location="/categories/5568" ref="AF789"/>
    <hyperlink r:id="rId1803" ref="K790"/>
    <hyperlink r:id="rId1804" ref="L790"/>
    <hyperlink r:id="rId1805" location="/products/88088" ref="AE790"/>
    <hyperlink r:id="rId1806" location="/categories/5568" ref="AF790"/>
    <hyperlink r:id="rId1807" ref="K791"/>
    <hyperlink r:id="rId1808" ref="L791"/>
    <hyperlink r:id="rId1809" ref="AE791"/>
    <hyperlink r:id="rId1810" ref="AF791"/>
    <hyperlink r:id="rId1811" ref="K792"/>
    <hyperlink r:id="rId1812" ref="L792"/>
    <hyperlink r:id="rId1813" ref="AE792"/>
    <hyperlink r:id="rId1814" ref="AF792"/>
    <hyperlink r:id="rId1815" ref="K793"/>
    <hyperlink r:id="rId1816" ref="L793"/>
    <hyperlink r:id="rId1817" ref="AE793"/>
    <hyperlink r:id="rId1818" ref="F794"/>
    <hyperlink r:id="rId1819" ref="K794"/>
    <hyperlink r:id="rId1820" ref="L794"/>
    <hyperlink r:id="rId1821" ref="AE794"/>
    <hyperlink r:id="rId1822" ref="K795"/>
    <hyperlink r:id="rId1823" ref="L795"/>
    <hyperlink r:id="rId1824" ref="AE795"/>
    <hyperlink r:id="rId1825" ref="K796"/>
    <hyperlink r:id="rId1826" ref="L796"/>
    <hyperlink r:id="rId1827" ref="AE796"/>
    <hyperlink r:id="rId1828" ref="K797"/>
    <hyperlink r:id="rId1829" ref="L797"/>
    <hyperlink r:id="rId1830" ref="AE797"/>
    <hyperlink r:id="rId1831" ref="K798"/>
    <hyperlink r:id="rId1832" ref="L798"/>
    <hyperlink r:id="rId1833" ref="AE798"/>
    <hyperlink r:id="rId1834" ref="K799"/>
    <hyperlink r:id="rId1835" ref="L799"/>
    <hyperlink r:id="rId1836" ref="AE799"/>
    <hyperlink r:id="rId1837" ref="K800"/>
    <hyperlink r:id="rId1838" ref="L800"/>
    <hyperlink r:id="rId1839" ref="AE800"/>
    <hyperlink r:id="rId1840" ref="K801"/>
    <hyperlink r:id="rId1841" ref="L801"/>
    <hyperlink r:id="rId1842" ref="AE801"/>
    <hyperlink r:id="rId1843" ref="K802"/>
    <hyperlink r:id="rId1844" ref="L802"/>
    <hyperlink r:id="rId1845" ref="AE802"/>
    <hyperlink r:id="rId1846" ref="K803"/>
    <hyperlink r:id="rId1847" ref="L803"/>
    <hyperlink r:id="rId1848" ref="AE803"/>
    <hyperlink r:id="rId1849" ref="K804"/>
    <hyperlink r:id="rId1850" ref="L804"/>
    <hyperlink r:id="rId1851" ref="AE804"/>
    <hyperlink r:id="rId1852" ref="K805"/>
    <hyperlink r:id="rId1853" ref="L805"/>
    <hyperlink r:id="rId1854" ref="AE805"/>
    <hyperlink r:id="rId1855" ref="K806"/>
    <hyperlink r:id="rId1856" ref="L806"/>
    <hyperlink r:id="rId1857" ref="AE806"/>
    <hyperlink r:id="rId1858" ref="K807"/>
    <hyperlink r:id="rId1859" ref="L807"/>
    <hyperlink r:id="rId1860" ref="AE807"/>
    <hyperlink r:id="rId1861" ref="K808"/>
    <hyperlink r:id="rId1862" ref="L808"/>
    <hyperlink r:id="rId1863" ref="AE808"/>
    <hyperlink r:id="rId1864" ref="K809"/>
    <hyperlink r:id="rId1865" ref="L809"/>
    <hyperlink r:id="rId1866" ref="AE809"/>
    <hyperlink r:id="rId1867" ref="K810"/>
    <hyperlink r:id="rId1868" ref="L810"/>
    <hyperlink r:id="rId1869" ref="AE810"/>
    <hyperlink r:id="rId1870" ref="K811"/>
    <hyperlink r:id="rId1871" ref="L811"/>
    <hyperlink r:id="rId1872" ref="AE811"/>
    <hyperlink r:id="rId1873" ref="K812"/>
    <hyperlink r:id="rId1874" ref="L812"/>
    <hyperlink r:id="rId1875" ref="AE812"/>
    <hyperlink r:id="rId1876" ref="K813"/>
    <hyperlink r:id="rId1877" ref="L813"/>
    <hyperlink r:id="rId1878" ref="AE813"/>
    <hyperlink r:id="rId1879" ref="K814"/>
    <hyperlink r:id="rId1880" ref="L814"/>
    <hyperlink r:id="rId1881" ref="AE814"/>
    <hyperlink r:id="rId1882" ref="K815"/>
    <hyperlink r:id="rId1883" ref="L815"/>
    <hyperlink r:id="rId1884" ref="AE815"/>
    <hyperlink r:id="rId1885" ref="K816"/>
    <hyperlink r:id="rId1886" ref="L816"/>
    <hyperlink r:id="rId1887" ref="AE816"/>
    <hyperlink r:id="rId1888" ref="K817"/>
    <hyperlink r:id="rId1889" ref="L817"/>
    <hyperlink r:id="rId1890" ref="AE817"/>
    <hyperlink r:id="rId1891" ref="K818"/>
    <hyperlink r:id="rId1892" ref="L818"/>
    <hyperlink r:id="rId1893" ref="AE818"/>
    <hyperlink r:id="rId1894" ref="K819"/>
    <hyperlink r:id="rId1895" ref="L819"/>
    <hyperlink r:id="rId1896" ref="AE819"/>
    <hyperlink r:id="rId1897" ref="K820"/>
    <hyperlink r:id="rId1898" ref="L820"/>
    <hyperlink r:id="rId1899" ref="AE820"/>
    <hyperlink r:id="rId1900" ref="K821"/>
    <hyperlink r:id="rId1901" ref="L821"/>
    <hyperlink r:id="rId1902" ref="AE821"/>
    <hyperlink r:id="rId1903" ref="K822"/>
    <hyperlink r:id="rId1904" ref="L822"/>
    <hyperlink r:id="rId1905" ref="AE822"/>
    <hyperlink r:id="rId1906" ref="K823"/>
    <hyperlink r:id="rId1907" ref="L823"/>
    <hyperlink r:id="rId1908" ref="AE823"/>
    <hyperlink r:id="rId1909" ref="K824"/>
    <hyperlink r:id="rId1910" ref="L824"/>
    <hyperlink r:id="rId1911" ref="AE824"/>
    <hyperlink r:id="rId1912" ref="L825"/>
    <hyperlink r:id="rId1913" ref="AE825"/>
    <hyperlink r:id="rId1914" ref="K826"/>
    <hyperlink r:id="rId1915" ref="L826"/>
    <hyperlink r:id="rId1916" ref="AE826"/>
    <hyperlink r:id="rId1917" ref="K827"/>
    <hyperlink r:id="rId1918" ref="L827"/>
    <hyperlink r:id="rId1919" ref="AE827"/>
    <hyperlink r:id="rId1920" ref="K828"/>
    <hyperlink r:id="rId1921" ref="L828"/>
    <hyperlink r:id="rId1922" ref="AE828"/>
    <hyperlink r:id="rId1923" ref="K829"/>
    <hyperlink r:id="rId1924" ref="L829"/>
  </hyperlinks>
  <drawing r:id="rId1925"/>
</worksheet>
</file>